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5D652869-27D9-486C-8830-BD75259B661A}" xr6:coauthVersionLast="47" xr6:coauthVersionMax="47" xr10:uidLastSave="{00000000-0000-0000-0000-000000000000}"/>
  <bookViews>
    <workbookView xWindow="28680" yWindow="-120" windowWidth="29040" windowHeight="15840" xr2:uid="{17AE9AAF-A5C4-43E9-BEE4-7E69F1E94335}"/>
  </bookViews>
  <sheets>
    <sheet name="Surface Plant Calcs" sheetId="2" r:id="rId1"/>
  </sheets>
  <externalReferences>
    <externalReference r:id="rId2"/>
  </externalReferences>
  <definedNames>
    <definedName name="Cp">'Surface Plant Calcs'!$C$11</definedName>
    <definedName name="CPR">'Surface Plant Calcs'!$F$6</definedName>
    <definedName name="Cv">'Surface Plant Calcs'!$C$12</definedName>
    <definedName name="eff_c">'Surface Plant Calcs'!$F$15</definedName>
    <definedName name="eff_t">'Surface Plant Calcs'!$C$15</definedName>
    <definedName name="gam">'Surface Plant Calcs'!$C$13</definedName>
    <definedName name="P_2">'Surface Plant Calcs'!$F$2</definedName>
    <definedName name="P_3">'Surface Plant Calcs'!$F$3</definedName>
    <definedName name="P_4">'Surface Plant Calcs'!$C$2</definedName>
    <definedName name="P_5">'Surface Plant Calcs'!$C$3</definedName>
    <definedName name="T_2">'Surface Plant Calcs'!$F$8</definedName>
    <definedName name="T_3">'Surface Plant Calcs'!$F$10</definedName>
    <definedName name="T_4">'Surface Plant Calcs'!$C$8</definedName>
    <definedName name="T_5">'Surface Plant Calcs'!$C$10</definedName>
    <definedName name="TPR">'Surface Plant Calcs'!$C$6</definedName>
    <definedName name="Work_in">'Surface Plant Calcs'!$F$24</definedName>
    <definedName name="Work_out">'Surface Plant Calcs'!$C$24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2" l="1"/>
  <c r="Z13" i="2"/>
  <c r="Z2" i="2"/>
  <c r="C8" i="2" l="1"/>
  <c r="T140" i="2"/>
  <c r="T134" i="2"/>
  <c r="F6" i="2" l="1"/>
  <c r="F4" i="2"/>
  <c r="C5" i="2"/>
  <c r="C4" i="2"/>
  <c r="B36" i="2"/>
  <c r="B37" i="2" s="1"/>
  <c r="F8" i="2"/>
  <c r="F5" i="2"/>
  <c r="C11" i="2"/>
  <c r="F13" i="2" s="1"/>
  <c r="C12" i="2"/>
  <c r="AG13" i="2"/>
  <c r="AG14" i="2" s="1"/>
  <c r="AG2" i="2"/>
  <c r="R13" i="2"/>
  <c r="R14" i="2" s="1"/>
  <c r="R2" i="2"/>
  <c r="E14" i="2"/>
  <c r="E13" i="2"/>
  <c r="E12" i="2"/>
  <c r="E11" i="2"/>
  <c r="E36" i="2"/>
  <c r="E37" i="2" s="1"/>
  <c r="E38" i="2" s="1"/>
  <c r="E30" i="2"/>
  <c r="F30" i="2" s="1"/>
  <c r="G16" i="2"/>
  <c r="D18" i="2"/>
  <c r="D16" i="2"/>
  <c r="G18" i="2"/>
  <c r="B38" i="2" l="1"/>
  <c r="B39" i="2"/>
  <c r="F11" i="2"/>
  <c r="F14" i="2"/>
  <c r="D19" i="2"/>
  <c r="G19" i="2"/>
  <c r="F12" i="2"/>
  <c r="C13" i="2"/>
  <c r="D20" i="2"/>
  <c r="G20" i="2"/>
  <c r="G21" i="2" l="1"/>
  <c r="C10" i="2"/>
  <c r="C9" i="2" s="1"/>
  <c r="D21" i="2"/>
  <c r="D24" i="2" s="1"/>
  <c r="F40" i="2" s="1"/>
  <c r="C14" i="2"/>
  <c r="F10" i="2"/>
  <c r="F17" i="2"/>
  <c r="D22" i="2"/>
  <c r="G22" i="2"/>
  <c r="G23" i="2" l="1"/>
  <c r="F9" i="2"/>
  <c r="D23" i="2"/>
  <c r="G24" i="2"/>
  <c r="C17" i="2"/>
  <c r="E25" i="2" l="1"/>
  <c r="F41" i="2"/>
  <c r="B41" i="2"/>
  <c r="B40" i="2"/>
  <c r="G41" i="2" l="1"/>
</calcChain>
</file>

<file path=xl/sharedStrings.xml><?xml version="1.0" encoding="utf-8"?>
<sst xmlns="http://schemas.openxmlformats.org/spreadsheetml/2006/main" count="139" uniqueCount="78">
  <si>
    <t>(F)</t>
  </si>
  <si>
    <t>-</t>
  </si>
  <si>
    <t>TPR</t>
  </si>
  <si>
    <t>Cp</t>
  </si>
  <si>
    <t>gam</t>
  </si>
  <si>
    <t>(gam-1)/gam</t>
  </si>
  <si>
    <t>(psi)</t>
  </si>
  <si>
    <t>kJ/kg-K</t>
  </si>
  <si>
    <t>Cv</t>
  </si>
  <si>
    <t>(K)</t>
  </si>
  <si>
    <t>kJ/kg</t>
  </si>
  <si>
    <t>Methane</t>
  </si>
  <si>
    <t>scf</t>
  </si>
  <si>
    <t>kg</t>
  </si>
  <si>
    <t>moles</t>
  </si>
  <si>
    <t>lb-moles</t>
  </si>
  <si>
    <t>MW</t>
  </si>
  <si>
    <t>lbs/lb-mole</t>
  </si>
  <si>
    <t>lbs</t>
  </si>
  <si>
    <t>scf/day</t>
  </si>
  <si>
    <t>scf/sec</t>
  </si>
  <si>
    <t>kg/s</t>
  </si>
  <si>
    <t>Flow Rates vs. Work</t>
  </si>
  <si>
    <t>kW</t>
  </si>
  <si>
    <t>day</t>
  </si>
  <si>
    <t>minutes</t>
  </si>
  <si>
    <t>hours</t>
  </si>
  <si>
    <t>seconds</t>
  </si>
  <si>
    <t>kg/day</t>
  </si>
  <si>
    <t>Turbine</t>
  </si>
  <si>
    <t>Compressor</t>
  </si>
  <si>
    <t>T_2</t>
  </si>
  <si>
    <t>T_3</t>
  </si>
  <si>
    <t>P_3</t>
  </si>
  <si>
    <t>P_2</t>
  </si>
  <si>
    <t>CPR</t>
  </si>
  <si>
    <t>eff_t</t>
  </si>
  <si>
    <t>eff_c</t>
  </si>
  <si>
    <t>P_4</t>
  </si>
  <si>
    <t>P_5</t>
  </si>
  <si>
    <t>T_4</t>
  </si>
  <si>
    <t>T_5</t>
  </si>
  <si>
    <t>Work_out</t>
  </si>
  <si>
    <t>Work_in</t>
  </si>
  <si>
    <t>Outlet Pressure (PSI)</t>
  </si>
  <si>
    <t>Inlet Pressure (psi)</t>
  </si>
  <si>
    <t>Turbine Power</t>
  </si>
  <si>
    <t>Assumed Inlet Temp:</t>
  </si>
  <si>
    <t>Turbine Outlet Temperature</t>
  </si>
  <si>
    <t>Compressor Power</t>
  </si>
  <si>
    <t>Compressor Outlet Temperature</t>
  </si>
  <si>
    <t>Nitrogen</t>
  </si>
  <si>
    <t>ht4</t>
  </si>
  <si>
    <t>ht5</t>
  </si>
  <si>
    <t>(MPa)</t>
  </si>
  <si>
    <t>MMscf/day</t>
  </si>
  <si>
    <t>Turbine - Work Out</t>
  </si>
  <si>
    <t>Compressor - Work In</t>
  </si>
  <si>
    <t>st4</t>
  </si>
  <si>
    <t>kJ/(kg*K)</t>
  </si>
  <si>
    <t>st5,isentropic</t>
  </si>
  <si>
    <t>ht5, isentropic</t>
  </si>
  <si>
    <t>ht5, actual</t>
  </si>
  <si>
    <t>T_5,actual</t>
  </si>
  <si>
    <t>ht2</t>
  </si>
  <si>
    <t>ht3</t>
  </si>
  <si>
    <t>st2</t>
  </si>
  <si>
    <t>st3, isentropic</t>
  </si>
  <si>
    <t>ht3, isentropic</t>
  </si>
  <si>
    <t>ht3, actual</t>
  </si>
  <si>
    <t>T_3, actual</t>
  </si>
  <si>
    <t>Assumed Inlet Pressure</t>
  </si>
  <si>
    <t>(bar)</t>
  </si>
  <si>
    <t>Inlet Temperature (F)</t>
  </si>
  <si>
    <t>Outlet Pressure (psi)</t>
  </si>
  <si>
    <t>Turbine Outlet Power</t>
  </si>
  <si>
    <t>Outlet</t>
  </si>
  <si>
    <t>Pressure (psi)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</si>
</sst>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0" fontId="2" fillId="0" borderId="0" xfId="0" applyFont="1"/>
    <xf numFmtId="0" fontId="3" fillId="0" borderId="0" xfId="0" applyFont="1"/>
    <xf numFmtId="167" fontId="0" fillId="0" borderId="0" xfId="2" applyNumberFormat="1" applyFont="1"/>
    <xf numFmtId="0" fontId="3" fillId="0" borderId="0" xfId="0" applyFont="1" applyAlignment="1">
      <alignment horizontal="right"/>
    </xf>
    <xf numFmtId="165" fontId="3" fillId="0" borderId="0" xfId="1" applyNumberFormat="1" applyFont="1"/>
    <xf numFmtId="43" fontId="0" fillId="0" borderId="0" xfId="0" applyNumberFormat="1"/>
    <xf numFmtId="165" fontId="0" fillId="0" borderId="0" xfId="0" applyNumberFormat="1"/>
    <xf numFmtId="0" fontId="0" fillId="2" borderId="0" xfId="0" applyFill="1"/>
    <xf numFmtId="43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/>
    <xf numFmtId="165" fontId="5" fillId="0" borderId="0" xfId="1" applyNumberFormat="1" applyFont="1"/>
    <xf numFmtId="43" fontId="4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vertical="center" textRotation="90"/>
    </xf>
    <xf numFmtId="43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43" fontId="0" fillId="0" borderId="0" xfId="1" applyNumberFormat="1" applyFont="1" applyFill="1"/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2" borderId="0" xfId="1" applyNumberFormat="1" applyFont="1" applyFill="1"/>
    <xf numFmtId="0" fontId="0" fillId="3" borderId="0" xfId="0" applyFill="1"/>
    <xf numFmtId="164" fontId="0" fillId="3" borderId="0" xfId="0" applyNumberFormat="1" applyFill="1"/>
    <xf numFmtId="43" fontId="0" fillId="4" borderId="0" xfId="1" applyNumberFormat="1" applyFont="1" applyFill="1"/>
    <xf numFmtId="167" fontId="0" fillId="4" borderId="0" xfId="2" applyNumberFormat="1" applyFont="1" applyFill="1"/>
    <xf numFmtId="1" fontId="0" fillId="4" borderId="0" xfId="0" applyNumberFormat="1" applyFill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6" fillId="5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3"/>
      </font>
      <fill>
        <patternFill>
          <bgColor theme="8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Calcs'!$M$4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Calcs'!$N$3:$R$3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Calcs'!$N$4:$R$4</c:f>
              <c:numCache>
                <c:formatCode>_(* #,##0_);_(* \(#,##0\);_(* "-"??_);_(@_)</c:formatCode>
                <c:ptCount val="5"/>
                <c:pt idx="0">
                  <c:v>70.325405418302495</c:v>
                </c:pt>
                <c:pt idx="1">
                  <c:v>76.703387150651039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D-4845-8149-688C02E3EA65}"/>
            </c:ext>
          </c:extLst>
        </c:ser>
        <c:ser>
          <c:idx val="1"/>
          <c:order val="1"/>
          <c:tx>
            <c:strRef>
              <c:f>'Surface Plant Calcs'!$M$5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Calcs'!$N$3:$R$3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Calcs'!$N$5:$R$5</c:f>
              <c:numCache>
                <c:formatCode>_(* #,##0_);_(* \(#,##0\);_(* "-"??_);_(@_)</c:formatCode>
                <c:ptCount val="5"/>
                <c:pt idx="0">
                  <c:v>53.075211550840642</c:v>
                </c:pt>
                <c:pt idx="1">
                  <c:v>61.559237534424078</c:v>
                </c:pt>
                <c:pt idx="2">
                  <c:v>66.146822531678467</c:v>
                </c:pt>
                <c:pt idx="3">
                  <c:v>68.992763447332422</c:v>
                </c:pt>
                <c:pt idx="4">
                  <c:v>70.889658483195831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D-4845-8149-688C02E3EA65}"/>
            </c:ext>
          </c:extLst>
        </c:ser>
        <c:ser>
          <c:idx val="2"/>
          <c:order val="2"/>
          <c:tx>
            <c:strRef>
              <c:f>'Surface Plant Calcs'!$M$6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Calcs'!$N$3:$R$3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Calcs'!$N$6:$R$6</c:f>
              <c:numCache>
                <c:formatCode>_(* #,##0_);_(* \(#,##0\);_(* "-"??_);_(@_)</c:formatCode>
                <c:ptCount val="5"/>
                <c:pt idx="0">
                  <c:v>41.567280439449867</c:v>
                </c:pt>
                <c:pt idx="1">
                  <c:v>51.505054002642112</c:v>
                </c:pt>
                <c:pt idx="2">
                  <c:v>57.113204178085233</c:v>
                </c:pt>
                <c:pt idx="3">
                  <c:v>60.66390020094974</c:v>
                </c:pt>
                <c:pt idx="4">
                  <c:v>63.144225809515603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8D-4845-8149-688C02E3EA65}"/>
            </c:ext>
          </c:extLst>
        </c:ser>
        <c:ser>
          <c:idx val="3"/>
          <c:order val="3"/>
          <c:tx>
            <c:strRef>
              <c:f>'Surface Plant Calcs'!$M$7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Calcs'!$N$3:$R$3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Calcs'!$N$7:$R$7</c:f>
              <c:numCache>
                <c:formatCode>_(* #,##0_);_(* \(#,##0\);_(* "-"??_);_(@_)</c:formatCode>
                <c:ptCount val="5"/>
                <c:pt idx="0">
                  <c:v>32.697574156402652</c:v>
                </c:pt>
                <c:pt idx="1">
                  <c:v>43.748138974412186</c:v>
                </c:pt>
                <c:pt idx="2">
                  <c:v>50.143967302711857</c:v>
                </c:pt>
                <c:pt idx="3">
                  <c:v>54.299509523741726</c:v>
                </c:pt>
                <c:pt idx="4">
                  <c:v>57.264144773485377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8D-4845-8149-688C02E3EA65}"/>
            </c:ext>
          </c:extLst>
        </c:ser>
        <c:ser>
          <c:idx val="4"/>
          <c:order val="4"/>
          <c:tx>
            <c:strRef>
              <c:f>'Surface Plant Calcs'!$M$8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Calcs'!$N$3:$R$3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Calcs'!$N$8:$R$8</c:f>
              <c:numCache>
                <c:formatCode>_(* #,##0_);_(* \(#,##0\);_(* "-"??_);_(@_)</c:formatCode>
                <c:ptCount val="5"/>
                <c:pt idx="0">
                  <c:v>25.385221934580642</c:v>
                </c:pt>
                <c:pt idx="1">
                  <c:v>37.345218536270671</c:v>
                </c:pt>
                <c:pt idx="2">
                  <c:v>44.388964294910906</c:v>
                </c:pt>
                <c:pt idx="3">
                  <c:v>49.044205669169308</c:v>
                </c:pt>
                <c:pt idx="4">
                  <c:v>52.410146819326812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8D-4845-8149-688C02E3E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6912"/>
        <c:axId val="185609216"/>
      </c:scatterChart>
      <c:valAx>
        <c:axId val="185606912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5609216"/>
        <c:crosses val="autoZero"/>
        <c:crossBetween val="midCat"/>
      </c:valAx>
      <c:valAx>
        <c:axId val="18560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Expander</a:t>
                </a:r>
                <a:r>
                  <a:rPr lang="en-US" baseline="0"/>
                  <a:t> </a:t>
                </a:r>
                <a:r>
                  <a:rPr lang="en-US"/>
                  <a:t> Power (</a:t>
                </a:r>
                <a:r>
                  <a:rPr lang="en-US" sz="1800" b="1" i="0" u="none" strike="noStrike" baseline="0">
                    <a:effectLst/>
                  </a:rPr>
                  <a:t>kW/MMscfd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5606912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6263863651658923"/>
          <c:y val="0.29151127957082035"/>
          <c:w val="0.10958358570563295"/>
          <c:h val="0.3498189677737879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Calcs'!$M$16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Calcs'!$N$15:$R$15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Calcs'!$N$16:$R$16</c:f>
              <c:numCache>
                <c:formatCode>_(* #,##0_);_(* \(#,##0\);_(* "-"??_);_(@_)</c:formatCode>
                <c:ptCount val="5"/>
                <c:pt idx="0">
                  <c:v>-44.379544292379222</c:v>
                </c:pt>
                <c:pt idx="1">
                  <c:v>-82.781735622638479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3E-4188-8109-1BF8D5707F4F}"/>
            </c:ext>
          </c:extLst>
        </c:ser>
        <c:ser>
          <c:idx val="1"/>
          <c:order val="1"/>
          <c:tx>
            <c:strRef>
              <c:f>'Surface Plant Calcs'!$M$17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Calcs'!$N$15:$R$15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Calcs'!$N$17:$R$17</c:f>
              <c:numCache>
                <c:formatCode>_(* #,##0_);_(* \(#,##0\);_(* "-"??_);_(@_)</c:formatCode>
                <c:ptCount val="5"/>
                <c:pt idx="0">
                  <c:v>16.692610735934988</c:v>
                </c:pt>
                <c:pt idx="1">
                  <c:v>-26.605730381560299</c:v>
                </c:pt>
                <c:pt idx="2">
                  <c:v>-56.647310868308764</c:v>
                </c:pt>
                <c:pt idx="3">
                  <c:v>-79.430276047622797</c:v>
                </c:pt>
                <c:pt idx="4">
                  <c:v>-95.418451673738431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E-4188-8109-1BF8D5707F4F}"/>
            </c:ext>
          </c:extLst>
        </c:ser>
        <c:ser>
          <c:idx val="2"/>
          <c:order val="2"/>
          <c:tx>
            <c:strRef>
              <c:f>'Surface Plant Calcs'!$M$18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Calcs'!$N$15:$R$15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Calcs'!$N$18:$R$18</c:f>
              <c:numCache>
                <c:formatCode>_(* #,##0_);_(* \(#,##0\);_(* "-"??_);_(@_)</c:formatCode>
                <c:ptCount val="5"/>
                <c:pt idx="0">
                  <c:v>57.291484697778117</c:v>
                </c:pt>
                <c:pt idx="1">
                  <c:v>11.076283849439687</c:v>
                </c:pt>
                <c:pt idx="2">
                  <c:v>-21.027897302972534</c:v>
                </c:pt>
                <c:pt idx="3">
                  <c:v>-45.126981323837114</c:v>
                </c:pt>
                <c:pt idx="4">
                  <c:v>-63.888595814616693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E-4188-8109-1BF8D5707F4F}"/>
            </c:ext>
          </c:extLst>
        </c:ser>
        <c:ser>
          <c:idx val="3"/>
          <c:order val="3"/>
          <c:tx>
            <c:strRef>
              <c:f>'Surface Plant Calcs'!$M$19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Calcs'!$N$15:$R$15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Calcs'!$N$19:$R$19</c:f>
              <c:numCache>
                <c:formatCode>_(* #,##0_);_(* \(#,##0\);_(* "-"??_);_(@_)</c:formatCode>
                <c:ptCount val="5"/>
                <c:pt idx="0">
                  <c:v>88.371509052391673</c:v>
                </c:pt>
                <c:pt idx="1">
                  <c:v>40.201963526215991</c:v>
                </c:pt>
                <c:pt idx="2">
                  <c:v>6.691500339373011</c:v>
                </c:pt>
                <c:pt idx="3">
                  <c:v>-18.464650680621716</c:v>
                </c:pt>
                <c:pt idx="4">
                  <c:v>-38.035806763619334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3E-4188-8109-1BF8D5707F4F}"/>
            </c:ext>
          </c:extLst>
        </c:ser>
        <c:ser>
          <c:idx val="4"/>
          <c:order val="4"/>
          <c:tx>
            <c:strRef>
              <c:f>'Surface Plant Calcs'!$M$20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Calcs'!$N$15:$R$15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Calcs'!$N$20:$R$20</c:f>
              <c:numCache>
                <c:formatCode>_(* #,##0_);_(* \(#,##0\);_(* "-"??_);_(@_)</c:formatCode>
                <c:ptCount val="5"/>
                <c:pt idx="0">
                  <c:v>113.79372896211032</c:v>
                </c:pt>
                <c:pt idx="1">
                  <c:v>64.200325189557148</c:v>
                </c:pt>
                <c:pt idx="2">
                  <c:v>29.650725854809242</c:v>
                </c:pt>
                <c:pt idx="3">
                  <c:v>3.7048267973797451</c:v>
                </c:pt>
                <c:pt idx="4">
                  <c:v>-16.476646666527095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3E-4188-8109-1BF8D570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24192"/>
        <c:axId val="187498496"/>
      </c:scatterChart>
      <c:valAx>
        <c:axId val="1868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498496"/>
        <c:crossesAt val="-100"/>
        <c:crossBetween val="midCat"/>
      </c:valAx>
      <c:valAx>
        <c:axId val="187498496"/>
        <c:scaling>
          <c:orientation val="minMax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Expander Outlet Temp</a:t>
                </a:r>
                <a:r>
                  <a:rPr lang="en-US" baseline="0"/>
                  <a:t> </a:t>
                </a:r>
                <a:r>
                  <a:rPr lang="en-US"/>
                  <a:t>(F)</a:t>
                </a:r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824192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Calcs'!$AB$4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Calcs'!$AC$3:$AG$3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Calcs'!$AC$4:$AG$4</c:f>
              <c:numCache>
                <c:formatCode>_(* #,##0_);_(* \(#,##0\);_(* "-"??_);_(@_)</c:formatCode>
                <c:ptCount val="5"/>
                <c:pt idx="0">
                  <c:v>132.47433450494927</c:v>
                </c:pt>
                <c:pt idx="1">
                  <c:v>163.42727216013196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E-45F8-AB70-EA0597E69B4A}"/>
            </c:ext>
          </c:extLst>
        </c:ser>
        <c:ser>
          <c:idx val="1"/>
          <c:order val="1"/>
          <c:tx>
            <c:strRef>
              <c:f>'Surface Plant Calcs'!$AB$5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Calcs'!$AC$3:$AG$3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Calcs'!$AC$5:$AG$5</c:f>
              <c:numCache>
                <c:formatCode>_(* #,##0_);_(* \(#,##0\);_(* "-"??_);_(@_)</c:formatCode>
                <c:ptCount val="5"/>
                <c:pt idx="0">
                  <c:v>84.461499760802852</c:v>
                </c:pt>
                <c:pt idx="1">
                  <c:v>111.18094164123768</c:v>
                </c:pt>
                <c:pt idx="2">
                  <c:v>131.80471301351204</c:v>
                </c:pt>
                <c:pt idx="3">
                  <c:v>148.89016812184101</c:v>
                </c:pt>
                <c:pt idx="4">
                  <c:v>163.64582029845221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9E-45F8-AB70-EA0597E69B4A}"/>
            </c:ext>
          </c:extLst>
        </c:ser>
        <c:ser>
          <c:idx val="2"/>
          <c:order val="2"/>
          <c:tx>
            <c:strRef>
              <c:f>'Surface Plant Calcs'!$AB$6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Calcs'!$AC$3:$AG$3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Calcs'!$AC$6:$AG$6</c:f>
              <c:numCache>
                <c:formatCode>_(* #,##0_);_(* \(#,##0\);_(* "-"??_);_(@_)</c:formatCode>
                <c:ptCount val="5"/>
                <c:pt idx="0">
                  <c:v>59.39940924879307</c:v>
                </c:pt>
                <c:pt idx="1">
                  <c:v>83.623752430121442</c:v>
                </c:pt>
                <c:pt idx="2">
                  <c:v>102.40855739146231</c:v>
                </c:pt>
                <c:pt idx="3">
                  <c:v>118.03247144708405</c:v>
                </c:pt>
                <c:pt idx="4">
                  <c:v>131.57374355551164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9E-45F8-AB70-EA0597E69B4A}"/>
            </c:ext>
          </c:extLst>
        </c:ser>
        <c:ser>
          <c:idx val="3"/>
          <c:order val="3"/>
          <c:tx>
            <c:strRef>
              <c:f>'Surface Plant Calcs'!$AB$7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Calcs'!$AC$3:$AG$3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Calcs'!$AC$7:$AG$7</c:f>
              <c:numCache>
                <c:formatCode>_(* #,##0_);_(* \(#,##0\);_(* "-"??_);_(@_)</c:formatCode>
                <c:ptCount val="5"/>
                <c:pt idx="0">
                  <c:v>43.032953140086313</c:v>
                </c:pt>
                <c:pt idx="1">
                  <c:v>65.460983876773128</c:v>
                </c:pt>
                <c:pt idx="2">
                  <c:v>82.917419063635407</c:v>
                </c:pt>
                <c:pt idx="3">
                  <c:v>97.484300100786612</c:v>
                </c:pt>
                <c:pt idx="4">
                  <c:v>110.14709748225202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9E-45F8-AB70-EA0597E69B4A}"/>
            </c:ext>
          </c:extLst>
        </c:ser>
        <c:ser>
          <c:idx val="4"/>
          <c:order val="4"/>
          <c:tx>
            <c:strRef>
              <c:f>'Surface Plant Calcs'!$AB$8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Calcs'!$AC$3:$AG$3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Calcs'!$AC$8:$AG$8</c:f>
              <c:numCache>
                <c:formatCode>_(* #,##0_);_(* \(#,##0\);_(* "-"??_);_(@_)</c:formatCode>
                <c:ptCount val="5"/>
                <c:pt idx="0">
                  <c:v>31.199068820747307</c:v>
                </c:pt>
                <c:pt idx="1">
                  <c:v>52.208781349930497</c:v>
                </c:pt>
                <c:pt idx="2">
                  <c:v>68.613545176415911</c:v>
                </c:pt>
                <c:pt idx="3">
                  <c:v>82.34281163793348</c:v>
                </c:pt>
                <c:pt idx="4">
                  <c:v>94.309415917718127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9E-45F8-AB70-EA0597E6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20288"/>
        <c:axId val="189422592"/>
      </c:scatterChart>
      <c:valAx>
        <c:axId val="1894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9422592"/>
        <c:crosses val="autoZero"/>
        <c:crossBetween val="midCat"/>
      </c:valAx>
      <c:valAx>
        <c:axId val="18942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Compressor</a:t>
                </a:r>
                <a:r>
                  <a:rPr lang="en-US" baseline="0"/>
                  <a:t> </a:t>
                </a:r>
                <a:r>
                  <a:rPr lang="en-US"/>
                  <a:t>Power (kW/MMscfd)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9420288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Calcs'!$AB$16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Calcs'!$AC$15:$AG$15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Calcs'!$AC$16:$AG$16</c:f>
              <c:numCache>
                <c:formatCode>_(* #,##0_);_(* \(#,##0\);_(* "-"??_);_(@_)</c:formatCode>
                <c:ptCount val="5"/>
                <c:pt idx="0">
                  <c:v>424.35461431623128</c:v>
                </c:pt>
                <c:pt idx="1">
                  <c:v>499.04327270780982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9D-483E-990D-2206DFABD8BB}"/>
            </c:ext>
          </c:extLst>
        </c:ser>
        <c:ser>
          <c:idx val="1"/>
          <c:order val="1"/>
          <c:tx>
            <c:strRef>
              <c:f>'Surface Plant Calcs'!$AB$17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Calcs'!$AC$15:$AG$15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Calcs'!$AC$17:$AG$17</c:f>
              <c:numCache>
                <c:formatCode>_(* #,##0_);_(* \(#,##0\);_(* "-"??_);_(@_)</c:formatCode>
                <c:ptCount val="5"/>
                <c:pt idx="0">
                  <c:v>306.01537015694748</c:v>
                </c:pt>
                <c:pt idx="1">
                  <c:v>378.14349297232383</c:v>
                </c:pt>
                <c:pt idx="2">
                  <c:v>430.97327818334344</c:v>
                </c:pt>
                <c:pt idx="3">
                  <c:v>472.8646570953444</c:v>
                </c:pt>
                <c:pt idx="4">
                  <c:v>507.66642634496895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9D-483E-990D-2206DFABD8BB}"/>
            </c:ext>
          </c:extLst>
        </c:ser>
        <c:ser>
          <c:idx val="2"/>
          <c:order val="2"/>
          <c:tx>
            <c:strRef>
              <c:f>'Surface Plant Calcs'!$AB$18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Calcs'!$AC$15:$AG$15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Calcs'!$AC$18:$AG$18</c:f>
              <c:numCache>
                <c:formatCode>_(* #,##0_);_(* \(#,##0\);_(* "-"??_);_(@_)</c:formatCode>
                <c:ptCount val="5"/>
                <c:pt idx="0">
                  <c:v>238.70356299012133</c:v>
                </c:pt>
                <c:pt idx="1">
                  <c:v>308.99904699485199</c:v>
                </c:pt>
                <c:pt idx="2">
                  <c:v>360.66080827744474</c:v>
                </c:pt>
                <c:pt idx="3">
                  <c:v>401.68278551986378</c:v>
                </c:pt>
                <c:pt idx="4">
                  <c:v>435.77893580281625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9D-483E-990D-2206DFABD8BB}"/>
            </c:ext>
          </c:extLst>
        </c:ser>
        <c:ser>
          <c:idx val="3"/>
          <c:order val="3"/>
          <c:tx>
            <c:strRef>
              <c:f>'Surface Plant Calcs'!$AB$19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Calcs'!$AC$15:$AG$15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Calcs'!$AC$19:$AG$19</c:f>
              <c:numCache>
                <c:formatCode>_(* #,##0_);_(* \(#,##0\);_(* "-"??_);_(@_)</c:formatCode>
                <c:ptCount val="5"/>
                <c:pt idx="0">
                  <c:v>191.87535361457728</c:v>
                </c:pt>
                <c:pt idx="1">
                  <c:v>260.6061663685025</c:v>
                </c:pt>
                <c:pt idx="2">
                  <c:v>311.27580155676497</c:v>
                </c:pt>
                <c:pt idx="3">
                  <c:v>351.56131310072527</c:v>
                </c:pt>
                <c:pt idx="4">
                  <c:v>385.060575292458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9D-483E-990D-2206DFABD8BB}"/>
            </c:ext>
          </c:extLst>
        </c:ser>
        <c:ser>
          <c:idx val="4"/>
          <c:order val="4"/>
          <c:tx>
            <c:strRef>
              <c:f>'Surface Plant Calcs'!$AB$20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Calcs'!$AC$15:$AG$15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Calcs'!$AC$20:$AG$20</c:f>
              <c:numCache>
                <c:formatCode>_(* #,##0_);_(* \(#,##0\);_(* "-"??_);_(@_)</c:formatCode>
                <c:ptCount val="5"/>
                <c:pt idx="0">
                  <c:v>156.15461994873473</c:v>
                </c:pt>
                <c:pt idx="1">
                  <c:v>223.45748010697264</c:v>
                </c:pt>
                <c:pt idx="2">
                  <c:v>273.21603509811632</c:v>
                </c:pt>
                <c:pt idx="3">
                  <c:v>312.82365670962855</c:v>
                </c:pt>
                <c:pt idx="4">
                  <c:v>345.7733608843709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9D-483E-990D-2206DFAB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52672"/>
        <c:axId val="191610880"/>
      </c:scatterChart>
      <c:valAx>
        <c:axId val="191452672"/>
        <c:scaling>
          <c:orientation val="minMax"/>
        </c:scaling>
        <c:delete val="0"/>
        <c:axPos val="b"/>
        <c:majorGridlines>
          <c:spPr>
            <a:ln w="25400"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610880"/>
        <c:crosses val="autoZero"/>
        <c:crossBetween val="midCat"/>
      </c:valAx>
      <c:valAx>
        <c:axId val="191610880"/>
        <c:scaling>
          <c:orientation val="minMax"/>
        </c:scaling>
        <c:delete val="0"/>
        <c:axPos val="l"/>
        <c:majorGridlines>
          <c:spPr>
            <a:ln w="9525"/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Compressor Outlet Temp</a:t>
                </a:r>
                <a:r>
                  <a:rPr lang="en-US" baseline="0"/>
                  <a:t> </a:t>
                </a:r>
                <a:r>
                  <a:rPr lang="en-US"/>
                  <a:t>(F)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452672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Calcs'!$U$4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Calcs'!$V$3:$Z$3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Calcs'!$V$4:$Z$4</c:f>
              <c:numCache>
                <c:formatCode>_(* #,##0_);_(* \(#,##0\);_(* "-"??_);_(@_)</c:formatCode>
                <c:ptCount val="5"/>
                <c:pt idx="0">
                  <c:v>84.58916744126293</c:v>
                </c:pt>
                <c:pt idx="1">
                  <c:v>93.670081377642703</c:v>
                </c:pt>
                <c:pt idx="2">
                  <c:v>98.89241602503192</c:v>
                </c:pt>
                <c:pt idx="3">
                  <c:v>102.31906152465066</c:v>
                </c:pt>
                <c:pt idx="4">
                  <c:v>104.71389535564788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D-45DB-8069-510F8529B63B}"/>
            </c:ext>
          </c:extLst>
        </c:ser>
        <c:ser>
          <c:idx val="1"/>
          <c:order val="1"/>
          <c:tx>
            <c:strRef>
              <c:f>'Surface Plant Calcs'!$U$5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Calcs'!$V$3:$Z$3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Calcs'!$V$5:$Z$5</c:f>
              <c:numCache>
                <c:formatCode>_(* #,##0_);_(* \(#,##0\);_(* "-"??_);_(@_)</c:formatCode>
                <c:ptCount val="5"/>
                <c:pt idx="0">
                  <c:v>63.658149896164204</c:v>
                </c:pt>
                <c:pt idx="1">
                  <c:v>75.09057943728584</c:v>
                </c:pt>
                <c:pt idx="2">
                  <c:v>81.937277829752333</c:v>
                </c:pt>
                <c:pt idx="3">
                  <c:v>86.535378276388826</c:v>
                </c:pt>
                <c:pt idx="4">
                  <c:v>89.881501678570146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D-45DB-8069-510F8529B63B}"/>
            </c:ext>
          </c:extLst>
        </c:ser>
        <c:ser>
          <c:idx val="2"/>
          <c:order val="2"/>
          <c:tx>
            <c:strRef>
              <c:f>'Surface Plant Calcs'!$U$6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Calcs'!$V$3:$Z$3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Calcs'!$V$6:$Z$6</c:f>
              <c:numCache>
                <c:formatCode>_(* #,##0_);_(* \(#,##0\);_(* "-"??_);_(@_)</c:formatCode>
                <c:ptCount val="5"/>
                <c:pt idx="0">
                  <c:v>49.744513490452</c:v>
                </c:pt>
                <c:pt idx="1">
                  <c:v>62.707176278769865</c:v>
                </c:pt>
                <c:pt idx="2">
                  <c:v>70.624680803686914</c:v>
                </c:pt>
                <c:pt idx="3">
                  <c:v>76.040980260272789</c:v>
                </c:pt>
                <c:pt idx="4">
                  <c:v>80.043469819897382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0D-45DB-8069-510F8529B63B}"/>
            </c:ext>
          </c:extLst>
        </c:ser>
        <c:ser>
          <c:idx val="3"/>
          <c:order val="3"/>
          <c:tx>
            <c:strRef>
              <c:f>'Surface Plant Calcs'!$U$7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Calcs'!$V$3:$Z$3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Calcs'!$V$7:$Z$7</c:f>
              <c:numCache>
                <c:formatCode>_(* #,##0_);_(* \(#,##0\);_(* "-"??_);_(@_)</c:formatCode>
                <c:ptCount val="5"/>
                <c:pt idx="0">
                  <c:v>39.057605192853188</c:v>
                </c:pt>
                <c:pt idx="1">
                  <c:v>53.172725459406323</c:v>
                </c:pt>
                <c:pt idx="2">
                  <c:v>61.903843552976397</c:v>
                </c:pt>
                <c:pt idx="3">
                  <c:v>67.945922593856309</c:v>
                </c:pt>
                <c:pt idx="4">
                  <c:v>72.452951712224092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0D-45DB-8069-510F8529B63B}"/>
            </c:ext>
          </c:extLst>
        </c:ser>
        <c:ser>
          <c:idx val="4"/>
          <c:order val="4"/>
          <c:tx>
            <c:strRef>
              <c:f>'Surface Plant Calcs'!$U$8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Calcs'!$V$3:$Z$3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Calcs'!$V$8:$Z$8</c:f>
              <c:numCache>
                <c:formatCode>_(* #,##0_);_(* \(#,##0\);_(* "-"??_);_(@_)</c:formatCode>
                <c:ptCount val="5"/>
                <c:pt idx="0">
                  <c:v>30.274689544831688</c:v>
                </c:pt>
                <c:pt idx="1">
                  <c:v>45.320440413593637</c:v>
                </c:pt>
                <c:pt idx="2">
                  <c:v>54.71274860837574</c:v>
                </c:pt>
                <c:pt idx="3">
                  <c:v>61.265910124229741</c:v>
                </c:pt>
                <c:pt idx="4">
                  <c:v>66.186621336536547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0D-45DB-8069-510F8529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6912"/>
        <c:axId val="185609216"/>
      </c:scatterChart>
      <c:valAx>
        <c:axId val="18560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5609216"/>
        <c:crosses val="autoZero"/>
        <c:crossBetween val="midCat"/>
      </c:valAx>
      <c:valAx>
        <c:axId val="18560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Expander Power (</a:t>
                </a:r>
                <a:r>
                  <a:rPr lang="en-US" sz="1800" b="1" i="0" u="none" strike="noStrike" baseline="0">
                    <a:effectLst/>
                  </a:rPr>
                  <a:t>kW/MMscfd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5606912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'Surface Plant Calcs'!$U$16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'Surface Plant Calcs'!$V$15:$Z$15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Calcs'!$V$16:$Z$16</c:f>
              <c:numCache>
                <c:formatCode>_(* #,##0_);_(* \(#,##0\);_(* "-"??_);_(@_)</c:formatCode>
                <c:ptCount val="5"/>
                <c:pt idx="0">
                  <c:v>35.664469541991522</c:v>
                </c:pt>
                <c:pt idx="1">
                  <c:v>-5.7113295807735511</c:v>
                </c:pt>
                <c:pt idx="2">
                  <c:v>-34.32991793365656</c:v>
                </c:pt>
                <c:pt idx="3">
                  <c:v>-56.186217205063983</c:v>
                </c:pt>
                <c:pt idx="4">
                  <c:v>-73.498325629003418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5D-4B17-8C32-24C634CCC421}"/>
            </c:ext>
          </c:extLst>
        </c:ser>
        <c:ser>
          <c:idx val="1"/>
          <c:order val="1"/>
          <c:tx>
            <c:strRef>
              <c:f>'Surface Plant Calcs'!$U$17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'Surface Plant Calcs'!$V$15:$Z$15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Calcs'!$V$17:$Z$17</c:f>
              <c:numCache>
                <c:formatCode>_(* #,##0_);_(* \(#,##0\);_(* "-"??_);_(@_)</c:formatCode>
                <c:ptCount val="5"/>
                <c:pt idx="0">
                  <c:v>104.20181814877047</c:v>
                </c:pt>
                <c:pt idx="1">
                  <c:v>57.769583921327424</c:v>
                </c:pt>
                <c:pt idx="2">
                  <c:v>25.465747777490993</c:v>
                </c:pt>
                <c:pt idx="3">
                  <c:v>0.92996244431710551</c:v>
                </c:pt>
                <c:pt idx="4">
                  <c:v>-18.595864784557385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5D-4B17-8C32-24C634CCC421}"/>
            </c:ext>
          </c:extLst>
        </c:ser>
        <c:ser>
          <c:idx val="2"/>
          <c:order val="2"/>
          <c:tx>
            <c:strRef>
              <c:f>'Surface Plant Calcs'!$U$18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'Surface Plant Calcs'!$V$15:$Z$15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Calcs'!$V$18:$Z$18</c:f>
              <c:numCache>
                <c:formatCode>_(* #,##0_);_(* \(#,##0\);_(* "-"??_);_(@_)</c:formatCode>
                <c:ptCount val="5"/>
                <c:pt idx="0">
                  <c:v>148.72888163168722</c:v>
                </c:pt>
                <c:pt idx="1">
                  <c:v>99.567576855096846</c:v>
                </c:pt>
                <c:pt idx="2">
                  <c:v>65.220446324715368</c:v>
                </c:pt>
                <c:pt idx="3">
                  <c:v>39.066104969729814</c:v>
                </c:pt>
                <c:pt idx="4">
                  <c:v>18.218915519694974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5D-4B17-8C32-24C634CCC421}"/>
            </c:ext>
          </c:extLst>
        </c:ser>
        <c:ser>
          <c:idx val="3"/>
          <c:order val="3"/>
          <c:tx>
            <c:strRef>
              <c:f>'Surface Plant Calcs'!$U$19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'Surface Plant Calcs'!$V$15:$Z$15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Calcs'!$V$19:$Z$19</c:f>
              <c:numCache>
                <c:formatCode>_(* #,##0_);_(* \(#,##0\);_(* "-"??_);_(@_)</c:formatCode>
                <c:ptCount val="5"/>
                <c:pt idx="0">
                  <c:v>182.30357999834817</c:v>
                </c:pt>
                <c:pt idx="1">
                  <c:v>131.36497018370454</c:v>
                </c:pt>
                <c:pt idx="2">
                  <c:v>95.667624083611457</c:v>
                </c:pt>
                <c:pt idx="3">
                  <c:v>68.430552734396045</c:v>
                </c:pt>
                <c:pt idx="4">
                  <c:v>46.69058678887221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5D-4B17-8C32-24C634CCC421}"/>
            </c:ext>
          </c:extLst>
        </c:ser>
        <c:ser>
          <c:idx val="4"/>
          <c:order val="4"/>
          <c:tx>
            <c:strRef>
              <c:f>'Surface Plant Calcs'!$U$20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'Surface Plant Calcs'!$V$15:$Z$15</c:f>
              <c:numCache>
                <c:formatCode>General</c:formatCode>
                <c:ptCount val="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</c:numCache>
            </c:numRef>
          </c:xVal>
          <c:yVal>
            <c:numRef>
              <c:f>'Surface Plant Calcs'!$V$20:$Z$20</c:f>
              <c:numCache>
                <c:formatCode>_(* #,##0_);_(* \(#,##0\);_(* "-"??_);_(@_)</c:formatCode>
                <c:ptCount val="5"/>
                <c:pt idx="0">
                  <c:v>209.46979736463072</c:v>
                </c:pt>
                <c:pt idx="1">
                  <c:v>157.25807289458371</c:v>
                </c:pt>
                <c:pt idx="2">
                  <c:v>120.585484521238</c:v>
                </c:pt>
                <c:pt idx="3">
                  <c:v>92.559916404834382</c:v>
                </c:pt>
                <c:pt idx="4">
                  <c:v>70.164970177449334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5D-4B17-8C32-24C634CCC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24192"/>
        <c:axId val="187498496"/>
      </c:scatterChart>
      <c:valAx>
        <c:axId val="1868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Inlet</a:t>
                </a:r>
                <a:r>
                  <a:rPr lang="en-US" baseline="0"/>
                  <a:t> Pressure (psi)</a:t>
                </a:r>
                <a:endParaRPr lang="en-US"/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498496"/>
        <c:crossesAt val="-100"/>
        <c:crossBetween val="midCat"/>
      </c:valAx>
      <c:valAx>
        <c:axId val="18749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Expander Outlet Temp</a:t>
                </a:r>
                <a:r>
                  <a:rPr lang="en-US" baseline="0"/>
                  <a:t> </a:t>
                </a:r>
                <a:r>
                  <a:rPr lang="en-US"/>
                  <a:t>(F)</a:t>
                </a:r>
              </a:p>
            </c:rich>
          </c:tx>
          <c:overlay val="0"/>
        </c:title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824192"/>
        <c:crosses val="autoZero"/>
        <c:crossBetween val="midCat"/>
      </c:valAx>
      <c:spPr>
        <a:ln>
          <a:solidFill>
            <a:sysClr val="windowText" lastClr="000000">
              <a:lumMod val="100000"/>
            </a:sysClr>
          </a:solidFill>
        </a:ln>
      </c:spPr>
    </c:plotArea>
    <c:legend>
      <c:legendPos val="r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42</xdr:row>
      <xdr:rowOff>40216</xdr:rowOff>
    </xdr:from>
    <xdr:to>
      <xdr:col>10</xdr:col>
      <xdr:colOff>161078</xdr:colOff>
      <xdr:row>68</xdr:row>
      <xdr:rowOff>96740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6136216"/>
          <a:ext cx="6817995" cy="5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148166</xdr:colOff>
      <xdr:row>69</xdr:row>
      <xdr:rowOff>63498</xdr:rowOff>
    </xdr:from>
    <xdr:to>
      <xdr:col>10</xdr:col>
      <xdr:colOff>375905</xdr:colOff>
      <xdr:row>95</xdr:row>
      <xdr:rowOff>167641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66" y="11302998"/>
          <a:ext cx="6895239" cy="5057143"/>
        </a:xfrm>
        <a:prstGeom prst="rect">
          <a:avLst/>
        </a:prstGeom>
      </xdr:spPr>
    </xdr:pic>
    <xdr:clientData/>
  </xdr:twoCellAnchor>
  <xdr:twoCellAnchor>
    <xdr:from>
      <xdr:col>10</xdr:col>
      <xdr:colOff>526140</xdr:colOff>
      <xdr:row>25</xdr:row>
      <xdr:rowOff>97214</xdr:rowOff>
    </xdr:from>
    <xdr:to>
      <xdr:col>20</xdr:col>
      <xdr:colOff>346526</xdr:colOff>
      <xdr:row>47</xdr:row>
      <xdr:rowOff>66523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254000</xdr:colOff>
      <xdr:row>49</xdr:row>
      <xdr:rowOff>52916</xdr:rowOff>
    </xdr:from>
    <xdr:to>
      <xdr:col>21</xdr:col>
      <xdr:colOff>74385</xdr:colOff>
      <xdr:row>71</xdr:row>
      <xdr:rowOff>40724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176893</xdr:colOff>
      <xdr:row>22</xdr:row>
      <xdr:rowOff>163286</xdr:rowOff>
    </xdr:from>
    <xdr:to>
      <xdr:col>43</xdr:col>
      <xdr:colOff>609600</xdr:colOff>
      <xdr:row>44</xdr:row>
      <xdr:rowOff>132595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419211</xdr:colOff>
      <xdr:row>45</xdr:row>
      <xdr:rowOff>69548</xdr:rowOff>
    </xdr:from>
    <xdr:to>
      <xdr:col>43</xdr:col>
      <xdr:colOff>239597</xdr:colOff>
      <xdr:row>67</xdr:row>
      <xdr:rowOff>40822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299357</xdr:colOff>
      <xdr:row>24</xdr:row>
      <xdr:rowOff>163285</xdr:rowOff>
    </xdr:from>
    <xdr:to>
      <xdr:col>31</xdr:col>
      <xdr:colOff>351064</xdr:colOff>
      <xdr:row>46</xdr:row>
      <xdr:rowOff>132594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B69F11D-9086-435C-BC20-084D4700E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639535</xdr:colOff>
      <xdr:row>49</xdr:row>
      <xdr:rowOff>40821</xdr:rowOff>
    </xdr:from>
    <xdr:to>
      <xdr:col>32</xdr:col>
      <xdr:colOff>78920</xdr:colOff>
      <xdr:row>71</xdr:row>
      <xdr:rowOff>10130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AB95FBE-E13C-4354-86F0-DCA61C6E8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0.83397</cdr:x>
      <cdr:y>0.058</cdr:y>
    </cdr:from>
    <cdr:to>
      <cdr:x>0.99761</cdr:x>
      <cdr:y>0.27898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64BF52-64AB-42AD-B125-E8A4762E4DFF}"/>
            </a:ext>
          </a:extLst>
        </cdr:cNvPr>
        <cdr:cNvSpPr txBox="1"/>
      </cdr:nvSpPr>
      <cdr:spPr>
        <a:xfrm xmlns:a="http://schemas.openxmlformats.org/drawingml/2006/main">
          <a:off x="4956781" y="241300"/>
          <a:ext cx="972588" cy="919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Outlet Pressure (psi)</a:t>
          </a:r>
        </a:p>
      </cdr:txBody>
    </cdr:sp>
  </cdr:relSizeAnchor>
  <cdr:relSizeAnchor xmlns:cdr="http://schemas.openxmlformats.org/drawingml/2006/chartDrawing">
    <cdr:from>
      <cdr:x>0.59528</cdr:x>
      <cdr:y>0.57477</cdr:y>
    </cdr:from>
    <cdr:to>
      <cdr:x>0.82193</cdr:x>
      <cdr:y>0.70238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39B536-54CE-4882-926F-3EF70738842A}"/>
            </a:ext>
          </a:extLst>
        </cdr:cNvPr>
        <cdr:cNvSpPr txBox="1"/>
      </cdr:nvSpPr>
      <cdr:spPr>
        <a:xfrm xmlns:a="http://schemas.openxmlformats.org/drawingml/2006/main">
          <a:off x="3538102" y="2391230"/>
          <a:ext cx="1347142" cy="53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200</a:t>
          </a:r>
          <a:r>
            <a:rPr lang="en-US" sz="1600" i="1" baseline="0"/>
            <a:t> F</a:t>
          </a:r>
          <a:endParaRPr lang="en-US" sz="1600" i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0.83636</cdr:x>
      <cdr:y>0.10379</cdr:y>
    </cdr:from>
    <cdr:to>
      <cdr:x>1</cdr:x>
      <cdr:y>0.32477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28167-D4C9-40F8-B805-0684DE1D49CB}"/>
            </a:ext>
          </a:extLst>
        </cdr:cNvPr>
        <cdr:cNvSpPr txBox="1"/>
      </cdr:nvSpPr>
      <cdr:spPr>
        <a:xfrm xmlns:a="http://schemas.openxmlformats.org/drawingml/2006/main">
          <a:off x="4971012" y="431799"/>
          <a:ext cx="972588" cy="919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Outlet Pressure (psi)</a:t>
          </a:r>
        </a:p>
      </cdr:txBody>
    </cdr:sp>
  </cdr:relSizeAnchor>
  <cdr:relSizeAnchor xmlns:cdr="http://schemas.openxmlformats.org/drawingml/2006/chartDrawing">
    <cdr:from>
      <cdr:x>0.59361</cdr:x>
      <cdr:y>0.12669</cdr:y>
    </cdr:from>
    <cdr:to>
      <cdr:x>0.82027</cdr:x>
      <cdr:y>0.25429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39B536-54CE-4882-926F-3EF70738842A}"/>
            </a:ext>
          </a:extLst>
        </cdr:cNvPr>
        <cdr:cNvSpPr txBox="1"/>
      </cdr:nvSpPr>
      <cdr:spPr>
        <a:xfrm xmlns:a="http://schemas.openxmlformats.org/drawingml/2006/main">
          <a:off x="3528188" y="527050"/>
          <a:ext cx="1347142" cy="53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200</a:t>
          </a:r>
          <a:r>
            <a:rPr lang="en-US" sz="1600" i="1" baseline="0"/>
            <a:t> F</a:t>
          </a:r>
          <a:endParaRPr lang="en-US" sz="16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0.60759</cdr:x>
      <cdr:y>0.65981</cdr:y>
    </cdr:from>
    <cdr:to>
      <cdr:x>0.82354</cdr:x>
      <cdr:y>0.78742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6A3D4A6-1A1F-48B4-AF5B-835D9289102B}"/>
            </a:ext>
          </a:extLst>
        </cdr:cNvPr>
        <cdr:cNvSpPr txBox="1"/>
      </cdr:nvSpPr>
      <cdr:spPr>
        <a:xfrm xmlns:a="http://schemas.openxmlformats.org/drawingml/2006/main">
          <a:off x="3611294" y="2745015"/>
          <a:ext cx="1283525" cy="53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50</a:t>
          </a:r>
          <a:r>
            <a:rPr lang="en-US" sz="1600" i="1" baseline="0"/>
            <a:t> F</a:t>
          </a:r>
          <a:endParaRPr lang="en-US" sz="1600" i="1"/>
        </a:p>
      </cdr:txBody>
    </cdr:sp>
  </cdr:relSizeAnchor>
  <cdr:relSizeAnchor xmlns:cdr="http://schemas.openxmlformats.org/drawingml/2006/chartDrawing">
    <cdr:from>
      <cdr:x>0.84409</cdr:x>
      <cdr:y>0.09398</cdr:y>
    </cdr:from>
    <cdr:to>
      <cdr:x>1</cdr:x>
      <cdr:y>0.31496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3DF74A4-2E0A-4C82-AB10-4267FD3AEA02}"/>
            </a:ext>
          </a:extLst>
        </cdr:cNvPr>
        <cdr:cNvSpPr txBox="1"/>
      </cdr:nvSpPr>
      <cdr:spPr>
        <a:xfrm xmlns:a="http://schemas.openxmlformats.org/drawingml/2006/main">
          <a:off x="5016940" y="390978"/>
          <a:ext cx="926660" cy="919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Inlet Pressure (psi)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0.84474</cdr:x>
      <cdr:y>0.09771</cdr:y>
    </cdr:from>
    <cdr:to>
      <cdr:x>1</cdr:x>
      <cdr:y>0.31858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20822" y="406702"/>
          <a:ext cx="922778" cy="919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Inlet Pressure (psi)</a:t>
          </a:r>
        </a:p>
      </cdr:txBody>
    </cdr:sp>
  </cdr:relSizeAnchor>
  <cdr:relSizeAnchor xmlns:cdr="http://schemas.openxmlformats.org/drawingml/2006/chartDrawing">
    <cdr:from>
      <cdr:x>0.62197</cdr:x>
      <cdr:y>0.67308</cdr:y>
    </cdr:from>
    <cdr:to>
      <cdr:x>0.83702</cdr:x>
      <cdr:y>0.80063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96750" y="2801559"/>
          <a:ext cx="1278149" cy="53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50</a:t>
          </a:r>
          <a:r>
            <a:rPr lang="en-US" sz="1600" i="1" baseline="0"/>
            <a:t> F</a:t>
          </a:r>
          <a:endParaRPr lang="en-US" sz="1600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0.83407</cdr:x>
      <cdr:y>0.09071</cdr:y>
    </cdr:from>
    <cdr:to>
      <cdr:x>0.99771</cdr:x>
      <cdr:y>0.31169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64BF52-64AB-42AD-B125-E8A4762E4DFF}"/>
            </a:ext>
          </a:extLst>
        </cdr:cNvPr>
        <cdr:cNvSpPr txBox="1"/>
      </cdr:nvSpPr>
      <cdr:spPr>
        <a:xfrm xmlns:a="http://schemas.openxmlformats.org/drawingml/2006/main">
          <a:off x="4957382" y="377369"/>
          <a:ext cx="972611" cy="9193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Outlet Pressure (psi)</a:t>
          </a:r>
        </a:p>
      </cdr:txBody>
    </cdr:sp>
  </cdr:relSizeAnchor>
  <cdr:relSizeAnchor xmlns:cdr="http://schemas.openxmlformats.org/drawingml/2006/chartDrawing">
    <cdr:from>
      <cdr:x>0.60673</cdr:x>
      <cdr:y>0.67289</cdr:y>
    </cdr:from>
    <cdr:to>
      <cdr:x>0.83338</cdr:x>
      <cdr:y>0.80049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39B536-54CE-4882-926F-3EF70738842A}"/>
            </a:ext>
          </a:extLst>
        </cdr:cNvPr>
        <cdr:cNvSpPr txBox="1"/>
      </cdr:nvSpPr>
      <cdr:spPr>
        <a:xfrm xmlns:a="http://schemas.openxmlformats.org/drawingml/2006/main">
          <a:off x="3606167" y="2799451"/>
          <a:ext cx="1347117" cy="530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300</a:t>
          </a:r>
          <a:r>
            <a:rPr lang="en-US" sz="1600" i="1" baseline="0"/>
            <a:t> F</a:t>
          </a:r>
          <a:endParaRPr lang="en-US" sz="1600" i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0.83636</cdr:x>
      <cdr:y>0.10052</cdr:y>
    </cdr:from>
    <cdr:to>
      <cdr:x>1</cdr:x>
      <cdr:y>0.3215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28167-D4C9-40F8-B805-0684DE1D49CB}"/>
            </a:ext>
          </a:extLst>
        </cdr:cNvPr>
        <cdr:cNvSpPr txBox="1"/>
      </cdr:nvSpPr>
      <cdr:spPr>
        <a:xfrm xmlns:a="http://schemas.openxmlformats.org/drawingml/2006/main">
          <a:off x="4970990" y="418179"/>
          <a:ext cx="972610" cy="9193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Outlet Pressure (psi)</a:t>
          </a:r>
        </a:p>
      </cdr:txBody>
    </cdr:sp>
  </cdr:relSizeAnchor>
  <cdr:relSizeAnchor xmlns:cdr="http://schemas.openxmlformats.org/drawingml/2006/chartDrawing">
    <cdr:from>
      <cdr:x>0.571</cdr:x>
      <cdr:y>0.08416</cdr:y>
    </cdr:from>
    <cdr:to>
      <cdr:x>0.79766</cdr:x>
      <cdr:y>0.21177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39B536-54CE-4882-926F-3EF70738842A}"/>
            </a:ext>
          </a:extLst>
        </cdr:cNvPr>
        <cdr:cNvSpPr txBox="1"/>
      </cdr:nvSpPr>
      <cdr:spPr>
        <a:xfrm xmlns:a="http://schemas.openxmlformats.org/drawingml/2006/main">
          <a:off x="3393794" y="350139"/>
          <a:ext cx="1347176" cy="530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1"/>
            <a:t>Inlet Temp</a:t>
          </a:r>
        </a:p>
        <a:p xmlns:a="http://schemas.openxmlformats.org/drawingml/2006/main">
          <a:pPr algn="ctr"/>
          <a:r>
            <a:rPr lang="en-US" sz="1600" i="1"/>
            <a:t>300</a:t>
          </a:r>
          <a:r>
            <a:rPr lang="en-US" sz="1600" i="1" baseline="0"/>
            <a:t> F</a:t>
          </a:r>
          <a:endParaRPr lang="en-US" sz="16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REFPROP/REFPRO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serInformation"/>
      <sheetName val="Examples"/>
      <sheetName val="Mixture Examples"/>
      <sheetName val="CheckSum"/>
    </sheetNames>
    <definedNames>
      <definedName name="Enthalpy"/>
      <definedName name="Entropy"/>
      <definedName name="Temperature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143"/>
  <sheetViews>
    <sheetView tabSelected="1" zoomScale="70" zoomScaleNormal="70" workbookViewId="0">
      <selection activeCell="X102" sqref="X102"/>
    </sheetView>
  </sheetViews>
  <sheetFormatPr defaultRowHeight="15" x14ac:dyDescent="0.25"/>
  <cols>
    <col min="2" max="2" width="13.7109375" customWidth="1"/>
    <col min="4" max="4" width="10" bestFit="1" customWidth="1"/>
    <col min="5" max="5" width="10.5703125" bestFit="1" customWidth="1"/>
    <col min="7" max="7" width="10.42578125" customWidth="1"/>
    <col min="22" max="22" width="9.5703125" bestFit="1" customWidth="1"/>
    <col min="23" max="25" width="9.5703125" customWidth="1"/>
    <col min="27" max="27" width="9.140625" customWidth="1"/>
    <col min="28" max="28" width="13.7109375" customWidth="1"/>
  </cols>
  <sheetData>
    <row r="1" spans="1:42" x14ac:dyDescent="0.25">
      <c r="B1" s="37" t="s">
        <v>29</v>
      </c>
      <c r="C1" s="37"/>
      <c r="E1" s="37" t="s">
        <v>30</v>
      </c>
      <c r="F1" s="37"/>
      <c r="N1" s="37" t="s">
        <v>46</v>
      </c>
      <c r="O1" s="37"/>
      <c r="P1" t="s">
        <v>47</v>
      </c>
      <c r="R1">
        <v>200</v>
      </c>
      <c r="S1" t="s">
        <v>0</v>
      </c>
      <c r="V1" s="37" t="s">
        <v>46</v>
      </c>
      <c r="W1" s="37"/>
      <c r="X1" t="s">
        <v>47</v>
      </c>
      <c r="Z1">
        <v>300</v>
      </c>
      <c r="AC1" s="37" t="s">
        <v>49</v>
      </c>
      <c r="AD1" s="37"/>
      <c r="AE1" t="s">
        <v>47</v>
      </c>
      <c r="AG1">
        <v>50</v>
      </c>
      <c r="AH1" t="s">
        <v>0</v>
      </c>
    </row>
    <row r="2" spans="1:42" x14ac:dyDescent="0.25">
      <c r="A2" t="s">
        <v>6</v>
      </c>
      <c r="B2" t="s">
        <v>38</v>
      </c>
      <c r="C2" s="12">
        <v>2209.7577798954335</v>
      </c>
      <c r="E2" t="s">
        <v>34</v>
      </c>
      <c r="F2" s="12">
        <v>500</v>
      </c>
      <c r="I2" t="s">
        <v>7</v>
      </c>
      <c r="J2" t="s">
        <v>7</v>
      </c>
      <c r="N2" s="6" t="s">
        <v>44</v>
      </c>
      <c r="O2" s="6"/>
      <c r="P2" s="6"/>
      <c r="Q2" s="6"/>
      <c r="R2" s="9">
        <f>CONVERT(R1,"F","K")</f>
        <v>366.48333333333329</v>
      </c>
      <c r="S2" s="6" t="s">
        <v>9</v>
      </c>
      <c r="V2" s="6" t="s">
        <v>44</v>
      </c>
      <c r="W2" s="6"/>
      <c r="X2" s="6"/>
      <c r="Y2" s="6"/>
      <c r="Z2" s="9">
        <f>CONVERT(Z1,"F","K")</f>
        <v>422.03888888888889</v>
      </c>
      <c r="AC2" s="6" t="s">
        <v>44</v>
      </c>
      <c r="AD2" s="6"/>
      <c r="AE2" s="6"/>
      <c r="AF2" s="6"/>
      <c r="AG2" s="9">
        <f>CONVERT(AG1,"F","K")</f>
        <v>283.14999999999998</v>
      </c>
      <c r="AH2" s="6" t="s">
        <v>9</v>
      </c>
      <c r="AI2" s="6"/>
      <c r="AJ2" s="6"/>
    </row>
    <row r="3" spans="1:42" x14ac:dyDescent="0.25">
      <c r="A3" t="s">
        <v>6</v>
      </c>
      <c r="B3" t="s">
        <v>39</v>
      </c>
      <c r="C3" s="12">
        <v>500</v>
      </c>
      <c r="E3" t="s">
        <v>33</v>
      </c>
      <c r="F3" s="12">
        <v>3138.4675792445792</v>
      </c>
      <c r="I3" t="s">
        <v>3</v>
      </c>
      <c r="J3" t="s">
        <v>8</v>
      </c>
      <c r="M3" s="36"/>
      <c r="N3" s="36">
        <v>1000</v>
      </c>
      <c r="O3" s="36">
        <v>1500</v>
      </c>
      <c r="P3" s="36">
        <v>2000</v>
      </c>
      <c r="Q3" s="36">
        <v>2500</v>
      </c>
      <c r="R3" s="36">
        <v>3000</v>
      </c>
      <c r="S3" s="6"/>
      <c r="U3" s="36"/>
      <c r="V3" s="36">
        <v>1000</v>
      </c>
      <c r="W3" s="36">
        <v>1500</v>
      </c>
      <c r="X3" s="36">
        <v>2000</v>
      </c>
      <c r="Y3" s="36">
        <v>2500</v>
      </c>
      <c r="Z3" s="36">
        <v>3000</v>
      </c>
      <c r="AB3" s="36"/>
      <c r="AC3" s="36">
        <v>1000</v>
      </c>
      <c r="AD3" s="36">
        <v>1500</v>
      </c>
      <c r="AE3" s="36">
        <v>2000</v>
      </c>
      <c r="AF3" s="36">
        <v>2500</v>
      </c>
      <c r="AG3" s="36">
        <v>3000</v>
      </c>
      <c r="AH3" s="6"/>
      <c r="AI3" s="6"/>
      <c r="AJ3" s="6"/>
      <c r="AK3" s="36"/>
      <c r="AL3" s="36">
        <v>1000</v>
      </c>
      <c r="AM3" s="36">
        <v>1500</v>
      </c>
      <c r="AN3" s="36">
        <v>2000</v>
      </c>
      <c r="AO3" s="36">
        <v>2500</v>
      </c>
      <c r="AP3" s="36">
        <v>3000</v>
      </c>
    </row>
    <row r="4" spans="1:42" x14ac:dyDescent="0.25">
      <c r="A4" t="s">
        <v>54</v>
      </c>
      <c r="B4" t="s">
        <v>38</v>
      </c>
      <c r="C4" s="22">
        <f>P_4*0.00689476</f>
        <v>15.235749550511839</v>
      </c>
      <c r="E4" t="s">
        <v>34</v>
      </c>
      <c r="F4" s="22">
        <f>P_2*0.00689476</f>
        <v>3.4473799999999999</v>
      </c>
      <c r="H4" t="s">
        <v>51</v>
      </c>
      <c r="I4">
        <v>1.2</v>
      </c>
      <c r="J4">
        <v>0.78</v>
      </c>
      <c r="L4" s="38" t="s">
        <v>74</v>
      </c>
      <c r="M4" s="34">
        <v>100</v>
      </c>
      <c r="N4" s="35">
        <v>70.325405418302495</v>
      </c>
      <c r="O4" s="35">
        <v>76.703387150651039</v>
      </c>
      <c r="P4" s="35"/>
      <c r="Q4" s="35"/>
      <c r="R4" s="35"/>
      <c r="S4" s="3"/>
      <c r="T4" s="38" t="s">
        <v>74</v>
      </c>
      <c r="U4" s="34">
        <v>100</v>
      </c>
      <c r="V4" s="35">
        <v>84.58916744126293</v>
      </c>
      <c r="W4" s="35">
        <v>93.670081377642703</v>
      </c>
      <c r="X4" s="35">
        <v>98.89241602503192</v>
      </c>
      <c r="Y4" s="35">
        <v>102.31906152465066</v>
      </c>
      <c r="Z4" s="35">
        <v>104.71389535564788</v>
      </c>
      <c r="AA4" s="38" t="s">
        <v>45</v>
      </c>
      <c r="AB4" s="34">
        <v>100</v>
      </c>
      <c r="AC4" s="35">
        <v>132.47433450494927</v>
      </c>
      <c r="AD4" s="35">
        <v>163.42727216013196</v>
      </c>
      <c r="AE4" s="35"/>
      <c r="AF4" s="35"/>
      <c r="AG4" s="35"/>
      <c r="AH4" s="3"/>
      <c r="AI4" s="3"/>
      <c r="AJ4" s="3"/>
      <c r="AK4" s="34">
        <v>100</v>
      </c>
      <c r="AL4" s="35">
        <v>132.47433450494927</v>
      </c>
      <c r="AM4" s="35">
        <v>163.42727216013196</v>
      </c>
      <c r="AN4" s="35"/>
      <c r="AO4" s="35"/>
      <c r="AP4" s="35"/>
    </row>
    <row r="5" spans="1:42" x14ac:dyDescent="0.25">
      <c r="A5" t="s">
        <v>54</v>
      </c>
      <c r="B5" t="s">
        <v>39</v>
      </c>
      <c r="C5" s="22">
        <f>P_5*0.00689476</f>
        <v>3.4473799999999999</v>
      </c>
      <c r="E5" t="s">
        <v>33</v>
      </c>
      <c r="F5" s="1">
        <f>P_3*0.00689476</f>
        <v>21.638980726672354</v>
      </c>
      <c r="H5" t="s">
        <v>11</v>
      </c>
      <c r="I5">
        <v>2.8</v>
      </c>
      <c r="J5">
        <v>1.95</v>
      </c>
      <c r="L5" s="38"/>
      <c r="M5" s="34">
        <v>200</v>
      </c>
      <c r="N5" s="35">
        <v>53.075211550840642</v>
      </c>
      <c r="O5" s="35">
        <v>61.559237534424078</v>
      </c>
      <c r="P5" s="35">
        <v>66.146822531678467</v>
      </c>
      <c r="Q5" s="35">
        <v>68.992763447332422</v>
      </c>
      <c r="R5" s="35">
        <v>70.889658483195831</v>
      </c>
      <c r="S5" s="3"/>
      <c r="T5" s="38"/>
      <c r="U5" s="34">
        <v>200</v>
      </c>
      <c r="V5" s="35">
        <v>63.658149896164204</v>
      </c>
      <c r="W5" s="35">
        <v>75.09057943728584</v>
      </c>
      <c r="X5" s="35">
        <v>81.937277829752333</v>
      </c>
      <c r="Y5" s="35">
        <v>86.535378276388826</v>
      </c>
      <c r="Z5" s="35">
        <v>89.881501678570146</v>
      </c>
      <c r="AA5" s="38"/>
      <c r="AB5" s="34">
        <v>200</v>
      </c>
      <c r="AC5" s="35">
        <v>84.461499760802852</v>
      </c>
      <c r="AD5" s="35">
        <v>111.18094164123768</v>
      </c>
      <c r="AE5" s="35">
        <v>131.80471301351204</v>
      </c>
      <c r="AF5" s="35">
        <v>148.89016812184101</v>
      </c>
      <c r="AG5" s="35">
        <v>163.64582029845221</v>
      </c>
      <c r="AH5" s="3"/>
      <c r="AI5" s="3"/>
      <c r="AJ5" s="3"/>
      <c r="AK5" s="34">
        <v>200</v>
      </c>
      <c r="AL5" s="35">
        <v>84.461499760802852</v>
      </c>
      <c r="AM5" s="35">
        <v>111.18094164123768</v>
      </c>
      <c r="AN5" s="35">
        <v>131.80471301351204</v>
      </c>
      <c r="AO5" s="35">
        <v>148.89016812184101</v>
      </c>
      <c r="AP5" s="35">
        <v>163.64582029845221</v>
      </c>
    </row>
    <row r="6" spans="1:42" x14ac:dyDescent="0.25">
      <c r="B6" t="s">
        <v>2</v>
      </c>
      <c r="E6" t="s">
        <v>35</v>
      </c>
      <c r="F6">
        <f>P_3/P_2</f>
        <v>6.2769351584891586</v>
      </c>
      <c r="L6" s="38"/>
      <c r="M6" s="34">
        <v>300</v>
      </c>
      <c r="N6" s="35">
        <v>41.567280439449867</v>
      </c>
      <c r="O6" s="35">
        <v>51.505054002642112</v>
      </c>
      <c r="P6" s="35">
        <v>57.113204178085233</v>
      </c>
      <c r="Q6" s="35">
        <v>60.66390020094974</v>
      </c>
      <c r="R6" s="35">
        <v>63.144225809515603</v>
      </c>
      <c r="S6" s="3"/>
      <c r="T6" s="38"/>
      <c r="U6" s="34">
        <v>300</v>
      </c>
      <c r="V6" s="35">
        <v>49.744513490452</v>
      </c>
      <c r="W6" s="35">
        <v>62.707176278769865</v>
      </c>
      <c r="X6" s="35">
        <v>70.624680803686914</v>
      </c>
      <c r="Y6" s="35">
        <v>76.040980260272789</v>
      </c>
      <c r="Z6" s="35">
        <v>80.043469819897382</v>
      </c>
      <c r="AA6" s="38"/>
      <c r="AB6" s="34">
        <v>300</v>
      </c>
      <c r="AC6" s="35">
        <v>59.39940924879307</v>
      </c>
      <c r="AD6" s="35">
        <v>83.623752430121442</v>
      </c>
      <c r="AE6" s="35">
        <v>102.40855739146231</v>
      </c>
      <c r="AF6" s="35">
        <v>118.03247144708405</v>
      </c>
      <c r="AG6" s="35">
        <v>131.57374355551164</v>
      </c>
      <c r="AH6" s="3"/>
      <c r="AI6" s="3"/>
      <c r="AJ6" s="3"/>
      <c r="AK6" s="34">
        <v>300</v>
      </c>
      <c r="AL6" s="35">
        <v>59.39940924879307</v>
      </c>
      <c r="AM6" s="35">
        <v>83.623752430121442</v>
      </c>
      <c r="AN6" s="35">
        <v>102.40855739146231</v>
      </c>
      <c r="AO6" s="35">
        <v>118.03247144708405</v>
      </c>
      <c r="AP6" s="35">
        <v>131.57374355551164</v>
      </c>
    </row>
    <row r="7" spans="1:42" x14ac:dyDescent="0.25">
      <c r="A7" t="s">
        <v>0</v>
      </c>
      <c r="B7" t="s">
        <v>40</v>
      </c>
      <c r="C7" s="12">
        <v>368.14392510980673</v>
      </c>
      <c r="E7" t="s">
        <v>31</v>
      </c>
      <c r="F7" s="12">
        <v>50</v>
      </c>
      <c r="L7" s="38"/>
      <c r="M7" s="34">
        <v>400</v>
      </c>
      <c r="N7" s="35">
        <v>32.697574156402652</v>
      </c>
      <c r="O7" s="35">
        <v>43.748138974412186</v>
      </c>
      <c r="P7" s="35">
        <v>50.143967302711857</v>
      </c>
      <c r="Q7" s="35">
        <v>54.299509523741726</v>
      </c>
      <c r="R7" s="35">
        <v>57.264144773485377</v>
      </c>
      <c r="S7" s="3"/>
      <c r="T7" s="38"/>
      <c r="U7" s="34">
        <v>400</v>
      </c>
      <c r="V7" s="35">
        <v>39.057605192853188</v>
      </c>
      <c r="W7" s="35">
        <v>53.172725459406323</v>
      </c>
      <c r="X7" s="35">
        <v>61.903843552976397</v>
      </c>
      <c r="Y7" s="35">
        <v>67.945922593856309</v>
      </c>
      <c r="Z7" s="35">
        <v>72.452951712224092</v>
      </c>
      <c r="AA7" s="38"/>
      <c r="AB7" s="34">
        <v>400</v>
      </c>
      <c r="AC7" s="35">
        <v>43.032953140086313</v>
      </c>
      <c r="AD7" s="35">
        <v>65.460983876773128</v>
      </c>
      <c r="AE7" s="35">
        <v>82.917419063635407</v>
      </c>
      <c r="AF7" s="35">
        <v>97.484300100786612</v>
      </c>
      <c r="AG7" s="35">
        <v>110.14709748225202</v>
      </c>
      <c r="AH7" s="3"/>
      <c r="AI7" s="3"/>
      <c r="AJ7" s="3"/>
      <c r="AK7" s="34">
        <v>400</v>
      </c>
      <c r="AL7" s="35">
        <v>43.032953140086313</v>
      </c>
      <c r="AM7" s="35">
        <v>65.460983876773128</v>
      </c>
      <c r="AN7" s="35">
        <v>82.917419063635407</v>
      </c>
      <c r="AO7" s="35">
        <v>97.484300100786612</v>
      </c>
      <c r="AP7" s="35">
        <v>110.14709748225202</v>
      </c>
    </row>
    <row r="8" spans="1:42" x14ac:dyDescent="0.25">
      <c r="A8" t="s">
        <v>9</v>
      </c>
      <c r="B8" t="s">
        <v>40</v>
      </c>
      <c r="C8" s="21">
        <f>CONVERT(C7,"F","K")</f>
        <v>459.8966250610037</v>
      </c>
      <c r="E8" t="s">
        <v>31</v>
      </c>
      <c r="F8">
        <f>CONVERT(F7,"F","K")</f>
        <v>283.14999999999998</v>
      </c>
      <c r="L8" s="38"/>
      <c r="M8" s="34">
        <v>500</v>
      </c>
      <c r="N8" s="35">
        <v>25.385221934580642</v>
      </c>
      <c r="O8" s="35">
        <v>37.345218536270671</v>
      </c>
      <c r="P8" s="35">
        <v>44.388964294910906</v>
      </c>
      <c r="Q8" s="35">
        <v>49.044205669169308</v>
      </c>
      <c r="R8" s="35">
        <v>52.410146819326812</v>
      </c>
      <c r="S8" s="3"/>
      <c r="T8" s="38"/>
      <c r="U8" s="34">
        <v>500</v>
      </c>
      <c r="V8" s="35">
        <v>30.274689544831688</v>
      </c>
      <c r="W8" s="35">
        <v>45.320440413593637</v>
      </c>
      <c r="X8" s="35">
        <v>54.71274860837574</v>
      </c>
      <c r="Y8" s="35">
        <v>61.265910124229741</v>
      </c>
      <c r="Z8" s="35">
        <v>66.186621336536547</v>
      </c>
      <c r="AA8" s="38"/>
      <c r="AB8" s="34">
        <v>500</v>
      </c>
      <c r="AC8" s="35">
        <v>31.199068820747307</v>
      </c>
      <c r="AD8" s="35">
        <v>52.208781349930497</v>
      </c>
      <c r="AE8" s="35">
        <v>68.613545176415911</v>
      </c>
      <c r="AF8" s="35">
        <v>82.34281163793348</v>
      </c>
      <c r="AG8" s="35">
        <v>94.309415917718127</v>
      </c>
      <c r="AH8" s="3"/>
      <c r="AI8" s="3"/>
      <c r="AJ8" s="3"/>
      <c r="AK8" s="34">
        <v>500</v>
      </c>
      <c r="AL8" s="35">
        <v>31.199068820747307</v>
      </c>
      <c r="AM8" s="35">
        <v>52.208781349930497</v>
      </c>
      <c r="AN8" s="35">
        <v>68.613545176415911</v>
      </c>
      <c r="AO8" s="35">
        <v>82.34281163793348</v>
      </c>
      <c r="AP8" s="35">
        <v>94.309415917718127</v>
      </c>
    </row>
    <row r="9" spans="1:42" x14ac:dyDescent="0.25">
      <c r="A9" s="29" t="s">
        <v>0</v>
      </c>
      <c r="B9" s="29" t="s">
        <v>41</v>
      </c>
      <c r="C9" s="30">
        <f>CONVERT(T_5,"K","F")</f>
        <v>368.14392510980673</v>
      </c>
      <c r="D9" s="29"/>
      <c r="E9" s="29" t="s">
        <v>32</v>
      </c>
      <c r="F9" s="29">
        <f>CONVERT(T_3,"K","F")</f>
        <v>50</v>
      </c>
      <c r="L9" s="38"/>
      <c r="M9" s="6"/>
      <c r="N9" s="3"/>
      <c r="O9" s="3"/>
      <c r="P9" s="3"/>
      <c r="Q9" s="3"/>
      <c r="R9" s="3"/>
      <c r="S9" s="3"/>
      <c r="T9" s="38"/>
      <c r="U9" s="6"/>
      <c r="V9" s="3"/>
      <c r="W9" s="3"/>
      <c r="X9" s="3"/>
      <c r="Y9" s="3"/>
      <c r="Z9" s="3"/>
      <c r="AA9" s="38"/>
      <c r="AB9" s="6"/>
      <c r="AC9" s="3"/>
      <c r="AD9" s="3"/>
      <c r="AE9" s="3"/>
      <c r="AF9" s="3"/>
      <c r="AG9" s="3"/>
      <c r="AH9" s="3"/>
      <c r="AI9" s="3"/>
      <c r="AJ9" s="3"/>
    </row>
    <row r="10" spans="1:42" x14ac:dyDescent="0.25">
      <c r="A10" s="29" t="s">
        <v>9</v>
      </c>
      <c r="B10" s="29" t="s">
        <v>41</v>
      </c>
      <c r="C10" s="29">
        <f>T_4-Work_out/Cp</f>
        <v>459.8966250610037</v>
      </c>
      <c r="D10" s="29"/>
      <c r="E10" s="29" t="s">
        <v>32</v>
      </c>
      <c r="F10" s="29">
        <f>Work_in/Cp+T_2</f>
        <v>283.14999999999998</v>
      </c>
      <c r="L10" s="38"/>
      <c r="M10" s="6"/>
      <c r="N10" s="3"/>
      <c r="O10" s="3"/>
      <c r="P10" s="3"/>
      <c r="Q10" s="3"/>
      <c r="R10" s="3"/>
      <c r="S10" s="3"/>
      <c r="T10" s="38"/>
      <c r="U10" s="6"/>
      <c r="V10" s="3"/>
      <c r="W10" s="3"/>
      <c r="X10" s="3"/>
      <c r="Y10" s="3"/>
      <c r="Z10" s="3"/>
      <c r="AA10" s="38"/>
      <c r="AB10" s="6"/>
      <c r="AC10" s="3"/>
      <c r="AD10" s="3"/>
      <c r="AE10" s="3"/>
      <c r="AF10" s="3"/>
      <c r="AG10" s="3"/>
      <c r="AH10" s="3"/>
      <c r="AI10" s="3"/>
      <c r="AJ10" s="3"/>
    </row>
    <row r="11" spans="1:42" x14ac:dyDescent="0.25">
      <c r="A11" s="29" t="s">
        <v>7</v>
      </c>
      <c r="B11" s="29" t="s">
        <v>3</v>
      </c>
      <c r="C11" s="29">
        <f>I4</f>
        <v>1.2</v>
      </c>
      <c r="D11" s="29"/>
      <c r="E11" s="29" t="str">
        <f>B11</f>
        <v>Cp</v>
      </c>
      <c r="F11" s="29">
        <f>Cp</f>
        <v>1.2</v>
      </c>
      <c r="L11" s="38"/>
      <c r="M11" s="6"/>
      <c r="N11" s="3"/>
      <c r="O11" s="3"/>
      <c r="P11" s="3"/>
      <c r="Q11" s="3"/>
      <c r="R11" s="3"/>
      <c r="S11" s="3"/>
      <c r="T11" s="38"/>
      <c r="U11" s="6"/>
      <c r="V11" s="3"/>
      <c r="W11" s="3"/>
      <c r="X11" s="3"/>
      <c r="Y11" s="3"/>
      <c r="Z11" s="3"/>
      <c r="AA11" s="38"/>
      <c r="AB11" s="6"/>
      <c r="AC11" s="3"/>
      <c r="AD11" s="3"/>
      <c r="AE11" s="3"/>
      <c r="AF11" s="3"/>
      <c r="AG11" s="3"/>
      <c r="AH11" s="3"/>
      <c r="AI11" s="3"/>
      <c r="AJ11" s="3"/>
    </row>
    <row r="12" spans="1:42" x14ac:dyDescent="0.25">
      <c r="A12" s="29" t="s">
        <v>7</v>
      </c>
      <c r="B12" s="29" t="s">
        <v>8</v>
      </c>
      <c r="C12" s="29">
        <f>J4</f>
        <v>0.78</v>
      </c>
      <c r="D12" s="29"/>
      <c r="E12" s="29" t="str">
        <f>B12</f>
        <v>Cv</v>
      </c>
      <c r="F12" s="29">
        <f>Cv</f>
        <v>0.78</v>
      </c>
    </row>
    <row r="13" spans="1:42" x14ac:dyDescent="0.25">
      <c r="A13" s="29" t="s">
        <v>1</v>
      </c>
      <c r="B13" s="29" t="s">
        <v>4</v>
      </c>
      <c r="C13" s="29">
        <f>Cp/Cv</f>
        <v>1.5384615384615383</v>
      </c>
      <c r="D13" s="29"/>
      <c r="E13" s="29" t="str">
        <f>B13</f>
        <v>gam</v>
      </c>
      <c r="F13" s="29">
        <f>Cp</f>
        <v>1.2</v>
      </c>
      <c r="M13" s="39" t="s">
        <v>48</v>
      </c>
      <c r="N13" s="39"/>
      <c r="O13" s="39"/>
      <c r="P13" t="s">
        <v>47</v>
      </c>
      <c r="R13">
        <f>R1</f>
        <v>200</v>
      </c>
      <c r="S13" t="s">
        <v>0</v>
      </c>
      <c r="U13" s="39" t="s">
        <v>48</v>
      </c>
      <c r="V13" s="39"/>
      <c r="W13" s="39"/>
      <c r="X13" t="s">
        <v>47</v>
      </c>
      <c r="Z13">
        <f>Z1</f>
        <v>300</v>
      </c>
      <c r="AA13" s="39" t="s">
        <v>50</v>
      </c>
      <c r="AB13" s="39"/>
      <c r="AC13" s="39"/>
      <c r="AD13" s="39"/>
      <c r="AE13" t="s">
        <v>47</v>
      </c>
      <c r="AG13">
        <f>AG1</f>
        <v>50</v>
      </c>
      <c r="AH13" t="s">
        <v>0</v>
      </c>
    </row>
    <row r="14" spans="1:42" x14ac:dyDescent="0.25">
      <c r="A14" s="29" t="s">
        <v>1</v>
      </c>
      <c r="B14" s="29" t="s">
        <v>5</v>
      </c>
      <c r="C14" s="29">
        <f>(gam-1)/gam</f>
        <v>0.34999999999999992</v>
      </c>
      <c r="D14" s="29"/>
      <c r="E14" s="29" t="str">
        <f>B14</f>
        <v>(gam-1)/gam</v>
      </c>
      <c r="F14" s="29">
        <f>Cp</f>
        <v>1.2</v>
      </c>
      <c r="N14" s="6" t="s">
        <v>44</v>
      </c>
      <c r="O14" s="6"/>
      <c r="P14" s="6"/>
      <c r="Q14" s="6"/>
      <c r="R14" s="6">
        <f>CONVERT(R13,"F","K")</f>
        <v>366.48333333333329</v>
      </c>
      <c r="S14" s="6" t="s">
        <v>9</v>
      </c>
      <c r="V14" s="6" t="s">
        <v>44</v>
      </c>
      <c r="W14" s="6"/>
      <c r="X14" s="6"/>
      <c r="Y14" s="6"/>
      <c r="Z14" s="6">
        <f>CONVERT(Z13,"F","K")</f>
        <v>422.03888888888889</v>
      </c>
      <c r="AC14" s="6" t="s">
        <v>44</v>
      </c>
      <c r="AD14" s="6"/>
      <c r="AE14" s="6"/>
      <c r="AF14" s="6"/>
      <c r="AG14" s="6">
        <f>CONVERT(AG13,"F","K")</f>
        <v>283.14999999999998</v>
      </c>
      <c r="AH14" s="6" t="s">
        <v>9</v>
      </c>
      <c r="AI14" s="6"/>
      <c r="AJ14" s="6"/>
    </row>
    <row r="15" spans="1:42" x14ac:dyDescent="0.25">
      <c r="A15" t="s">
        <v>1</v>
      </c>
      <c r="B15" t="s">
        <v>36</v>
      </c>
      <c r="C15" s="12">
        <v>0.85</v>
      </c>
      <c r="E15" t="s">
        <v>37</v>
      </c>
      <c r="F15" s="12">
        <v>0.85</v>
      </c>
      <c r="M15" s="36"/>
      <c r="N15" s="36">
        <v>1000</v>
      </c>
      <c r="O15" s="36">
        <v>1500</v>
      </c>
      <c r="P15" s="36">
        <v>2000</v>
      </c>
      <c r="Q15" s="36">
        <v>2500</v>
      </c>
      <c r="R15" s="36">
        <v>3000</v>
      </c>
      <c r="S15" s="6"/>
      <c r="U15" s="36"/>
      <c r="V15" s="36">
        <v>1000</v>
      </c>
      <c r="W15" s="36">
        <v>1500</v>
      </c>
      <c r="X15" s="36">
        <v>2000</v>
      </c>
      <c r="Y15" s="36">
        <v>2500</v>
      </c>
      <c r="Z15" s="36">
        <v>3000</v>
      </c>
      <c r="AB15" s="36"/>
      <c r="AC15" s="36">
        <v>1000</v>
      </c>
      <c r="AD15" s="36">
        <v>1500</v>
      </c>
      <c r="AE15" s="36">
        <v>2000</v>
      </c>
      <c r="AF15" s="36">
        <v>2500</v>
      </c>
      <c r="AG15" s="36">
        <v>3000</v>
      </c>
      <c r="AH15" s="6"/>
      <c r="AI15" s="6"/>
      <c r="AJ15" s="6"/>
    </row>
    <row r="16" spans="1:42" x14ac:dyDescent="0.25">
      <c r="A16" t="s">
        <v>10</v>
      </c>
      <c r="B16" t="s">
        <v>52</v>
      </c>
      <c r="D16" s="24">
        <f>[1]!Enthalpy("natural gas","TP","SI", T_4, C4)</f>
        <v>1193.1042399701491</v>
      </c>
      <c r="E16" t="s">
        <v>64</v>
      </c>
      <c r="G16" s="24">
        <f>[1]!Enthalpy("natural gas","TP","SI", T_2,F4)</f>
        <v>800.76623061281657</v>
      </c>
      <c r="L16" s="38" t="s">
        <v>74</v>
      </c>
      <c r="M16" s="34">
        <v>100</v>
      </c>
      <c r="N16" s="35">
        <v>-44.379544292379222</v>
      </c>
      <c r="O16" s="35">
        <v>-82.781735622638479</v>
      </c>
      <c r="P16" s="35"/>
      <c r="Q16" s="35"/>
      <c r="R16" s="35"/>
      <c r="S16" s="3"/>
      <c r="T16" s="38" t="s">
        <v>74</v>
      </c>
      <c r="U16" s="34">
        <v>100</v>
      </c>
      <c r="V16" s="35">
        <v>35.664469541991522</v>
      </c>
      <c r="W16" s="35">
        <v>-5.7113295807735511</v>
      </c>
      <c r="X16" s="35">
        <v>-34.32991793365656</v>
      </c>
      <c r="Y16" s="35">
        <v>-56.186217205063983</v>
      </c>
      <c r="Z16" s="35">
        <v>-73.498325629003418</v>
      </c>
      <c r="AA16" s="38" t="s">
        <v>45</v>
      </c>
      <c r="AB16" s="34">
        <v>100</v>
      </c>
      <c r="AC16" s="35">
        <v>424.35461431623128</v>
      </c>
      <c r="AD16" s="35">
        <v>499.04327270780982</v>
      </c>
      <c r="AE16" s="35"/>
      <c r="AF16" s="35"/>
      <c r="AG16" s="35"/>
      <c r="AH16" s="3"/>
      <c r="AI16" s="3"/>
      <c r="AJ16" s="3"/>
    </row>
    <row r="17" spans="1:36" x14ac:dyDescent="0.25">
      <c r="A17" s="16" t="s">
        <v>10</v>
      </c>
      <c r="B17" s="16" t="s">
        <v>53</v>
      </c>
      <c r="C17" s="17">
        <f>[1]!Enthalpy("natural gas","TP","SI", D22,C5)</f>
        <v>958.82788569683714</v>
      </c>
      <c r="D17" s="23"/>
      <c r="E17" t="s">
        <v>65</v>
      </c>
      <c r="F17" s="17">
        <f>[1]!Enthalpy("natural gas","TP","SI", T_3,F5)</f>
        <v>624.55312205677649</v>
      </c>
      <c r="L17" s="38"/>
      <c r="M17" s="34">
        <v>200</v>
      </c>
      <c r="N17" s="35">
        <v>16.692610735934988</v>
      </c>
      <c r="O17" s="35">
        <v>-26.605730381560299</v>
      </c>
      <c r="P17" s="35">
        <v>-56.647310868308764</v>
      </c>
      <c r="Q17" s="35">
        <v>-79.430276047622797</v>
      </c>
      <c r="R17" s="35">
        <v>-95.418451673738431</v>
      </c>
      <c r="S17" s="3"/>
      <c r="T17" s="38"/>
      <c r="U17" s="34">
        <v>200</v>
      </c>
      <c r="V17" s="35">
        <v>104.20181814877047</v>
      </c>
      <c r="W17" s="35">
        <v>57.769583921327424</v>
      </c>
      <c r="X17" s="35">
        <v>25.465747777490993</v>
      </c>
      <c r="Y17" s="35">
        <v>0.92996244431710551</v>
      </c>
      <c r="Z17" s="35">
        <v>-18.595864784557385</v>
      </c>
      <c r="AA17" s="38"/>
      <c r="AB17" s="34">
        <v>200</v>
      </c>
      <c r="AC17" s="35">
        <v>306.01537015694748</v>
      </c>
      <c r="AD17" s="35">
        <v>378.14349297232383</v>
      </c>
      <c r="AE17" s="35">
        <v>430.97327818334344</v>
      </c>
      <c r="AF17" s="35">
        <v>472.8646570953444</v>
      </c>
      <c r="AG17" s="35">
        <v>507.66642634496895</v>
      </c>
      <c r="AH17" s="3"/>
      <c r="AI17" s="3"/>
      <c r="AJ17" s="3"/>
    </row>
    <row r="18" spans="1:36" x14ac:dyDescent="0.25">
      <c r="A18" t="s">
        <v>59</v>
      </c>
      <c r="B18" t="s">
        <v>58</v>
      </c>
      <c r="D18" s="25">
        <f>[1]!Entropy("natural gas","TP","SI", T_4,C4)</f>
        <v>4.8412349911542147</v>
      </c>
      <c r="E18" t="s">
        <v>66</v>
      </c>
      <c r="G18" s="25">
        <f>[1]!Entropy("natural gas","TP","SI", T_2,F4)</f>
        <v>4.4614976003615654</v>
      </c>
      <c r="L18" s="38"/>
      <c r="M18" s="34">
        <v>300</v>
      </c>
      <c r="N18" s="35">
        <v>57.291484697778117</v>
      </c>
      <c r="O18" s="35">
        <v>11.076283849439687</v>
      </c>
      <c r="P18" s="35">
        <v>-21.027897302972534</v>
      </c>
      <c r="Q18" s="35">
        <v>-45.126981323837114</v>
      </c>
      <c r="R18" s="35">
        <v>-63.888595814616693</v>
      </c>
      <c r="S18" s="3"/>
      <c r="T18" s="38"/>
      <c r="U18" s="34">
        <v>300</v>
      </c>
      <c r="V18" s="35">
        <v>148.72888163168722</v>
      </c>
      <c r="W18" s="35">
        <v>99.567576855096846</v>
      </c>
      <c r="X18" s="35">
        <v>65.220446324715368</v>
      </c>
      <c r="Y18" s="35">
        <v>39.066104969729814</v>
      </c>
      <c r="Z18" s="35">
        <v>18.218915519694974</v>
      </c>
      <c r="AA18" s="38"/>
      <c r="AB18" s="34">
        <v>300</v>
      </c>
      <c r="AC18" s="35">
        <v>238.70356299012133</v>
      </c>
      <c r="AD18" s="35">
        <v>308.99904699485199</v>
      </c>
      <c r="AE18" s="35">
        <v>360.66080827744474</v>
      </c>
      <c r="AF18" s="35">
        <v>401.68278551986378</v>
      </c>
      <c r="AG18" s="35">
        <v>435.77893580281625</v>
      </c>
      <c r="AH18" s="3"/>
      <c r="AI18" s="3"/>
      <c r="AJ18" s="3"/>
    </row>
    <row r="19" spans="1:36" x14ac:dyDescent="0.25">
      <c r="A19" s="14" t="s">
        <v>59</v>
      </c>
      <c r="B19" s="14" t="s">
        <v>60</v>
      </c>
      <c r="C19" s="14"/>
      <c r="D19" s="18">
        <f>D18</f>
        <v>4.8412349911542147</v>
      </c>
      <c r="E19" t="s">
        <v>67</v>
      </c>
      <c r="G19" s="18">
        <f>G18</f>
        <v>4.4614976003615654</v>
      </c>
      <c r="L19" s="38"/>
      <c r="M19" s="34">
        <v>400</v>
      </c>
      <c r="N19" s="35">
        <v>88.371509052391673</v>
      </c>
      <c r="O19" s="35">
        <v>40.201963526215991</v>
      </c>
      <c r="P19" s="35">
        <v>6.691500339373011</v>
      </c>
      <c r="Q19" s="35">
        <v>-18.464650680621716</v>
      </c>
      <c r="R19" s="35">
        <v>-38.035806763619334</v>
      </c>
      <c r="S19" s="3"/>
      <c r="T19" s="38"/>
      <c r="U19" s="34">
        <v>400</v>
      </c>
      <c r="V19" s="35">
        <v>182.30357999834817</v>
      </c>
      <c r="W19" s="35">
        <v>131.36497018370454</v>
      </c>
      <c r="X19" s="35">
        <v>95.667624083611457</v>
      </c>
      <c r="Y19" s="35">
        <v>68.430552734396045</v>
      </c>
      <c r="Z19" s="35">
        <v>46.69058678887221</v>
      </c>
      <c r="AA19" s="38"/>
      <c r="AB19" s="34">
        <v>400</v>
      </c>
      <c r="AC19" s="35">
        <v>191.87535361457728</v>
      </c>
      <c r="AD19" s="35">
        <v>260.6061663685025</v>
      </c>
      <c r="AE19" s="35">
        <v>311.27580155676497</v>
      </c>
      <c r="AF19" s="35">
        <v>351.56131310072527</v>
      </c>
      <c r="AG19" s="35">
        <v>385.060575292458</v>
      </c>
      <c r="AH19" s="3"/>
      <c r="AI19" s="3"/>
      <c r="AJ19" s="3"/>
    </row>
    <row r="20" spans="1:36" x14ac:dyDescent="0.25">
      <c r="A20" s="14" t="s">
        <v>10</v>
      </c>
      <c r="B20" s="14" t="s">
        <v>61</v>
      </c>
      <c r="C20" s="14"/>
      <c r="D20" s="15">
        <f>[1]!Enthalpy("natural gas","PS","SI", C5,D19)</f>
        <v>917.48499987613786</v>
      </c>
      <c r="E20" t="s">
        <v>68</v>
      </c>
      <c r="G20" s="15">
        <f>[1]!Enthalpy("natural gas","PS","SI", F5,G19)</f>
        <v>1099.2567806933209</v>
      </c>
      <c r="L20" s="38"/>
      <c r="M20" s="34">
        <v>500</v>
      </c>
      <c r="N20" s="35">
        <v>113.79372896211032</v>
      </c>
      <c r="O20" s="35">
        <v>64.200325189557148</v>
      </c>
      <c r="P20" s="35">
        <v>29.650725854809242</v>
      </c>
      <c r="Q20" s="35">
        <v>3.7048267973797451</v>
      </c>
      <c r="R20" s="35">
        <v>-16.476646666527095</v>
      </c>
      <c r="S20" s="3"/>
      <c r="T20" s="38"/>
      <c r="U20" s="34">
        <v>500</v>
      </c>
      <c r="V20" s="35">
        <v>209.46979736463072</v>
      </c>
      <c r="W20" s="35">
        <v>157.25807289458371</v>
      </c>
      <c r="X20" s="35">
        <v>120.585484521238</v>
      </c>
      <c r="Y20" s="35">
        <v>92.559916404834382</v>
      </c>
      <c r="Z20" s="35">
        <v>70.164970177449334</v>
      </c>
      <c r="AA20" s="38"/>
      <c r="AB20" s="34">
        <v>500</v>
      </c>
      <c r="AC20" s="35">
        <v>156.15461994873473</v>
      </c>
      <c r="AD20" s="35">
        <v>223.45748010697264</v>
      </c>
      <c r="AE20" s="35">
        <v>273.21603509811632</v>
      </c>
      <c r="AF20" s="35">
        <v>312.82365670962855</v>
      </c>
      <c r="AG20" s="35">
        <v>345.7733608843709</v>
      </c>
      <c r="AH20" s="3"/>
      <c r="AI20" s="3"/>
      <c r="AJ20" s="3"/>
    </row>
    <row r="21" spans="1:36" x14ac:dyDescent="0.25">
      <c r="A21" t="s">
        <v>10</v>
      </c>
      <c r="B21" t="s">
        <v>62</v>
      </c>
      <c r="D21" s="13">
        <f>D16+(D20-D16)*eff_t</f>
        <v>958.8278858902396</v>
      </c>
      <c r="E21" t="s">
        <v>69</v>
      </c>
      <c r="G21" s="13">
        <f>G16+(G20-G16)/eff_c</f>
        <v>1151.931583648704</v>
      </c>
      <c r="L21" s="38"/>
      <c r="M21" s="6"/>
      <c r="N21" s="3"/>
      <c r="O21" s="3"/>
      <c r="P21" s="3"/>
      <c r="Q21" s="3"/>
      <c r="R21" s="3"/>
      <c r="S21" s="3"/>
      <c r="T21" s="38"/>
      <c r="U21" s="6"/>
      <c r="V21" s="3"/>
      <c r="W21" s="3"/>
      <c r="X21" s="3"/>
      <c r="Y21" s="3"/>
      <c r="Z21" s="3"/>
      <c r="AA21" s="38"/>
      <c r="AB21" s="6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t="s">
        <v>9</v>
      </c>
      <c r="B22" t="s">
        <v>63</v>
      </c>
      <c r="D22" s="13">
        <f>[1]!Temperature("natural gas", "PH", "SI",C5,D21)</f>
        <v>350.27663055801207</v>
      </c>
      <c r="E22" t="s">
        <v>70</v>
      </c>
      <c r="G22" s="25">
        <f>[1]!Temperature("natural gas", "PH", "SI",F5,G21)</f>
        <v>452.04086494793899</v>
      </c>
      <c r="L22" s="38"/>
      <c r="M22" s="6"/>
      <c r="N22" s="3"/>
      <c r="O22" s="3"/>
      <c r="P22" s="3"/>
      <c r="Q22" s="3"/>
      <c r="R22" s="3"/>
      <c r="S22" s="3"/>
      <c r="T22" s="38"/>
      <c r="U22" s="6"/>
      <c r="V22" s="3"/>
      <c r="W22" s="3"/>
      <c r="X22" s="3"/>
      <c r="Y22" s="3"/>
      <c r="Z22" s="3"/>
      <c r="AA22" s="38"/>
      <c r="AB22" s="6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t="s">
        <v>0</v>
      </c>
      <c r="B23" t="s">
        <v>63</v>
      </c>
      <c r="D23" s="31">
        <f>CONVERT(D22,"K","F")</f>
        <v>170.82793500442179</v>
      </c>
      <c r="E23" t="s">
        <v>70</v>
      </c>
      <c r="G23" s="31">
        <f>CONVERT(G22,"K","F")</f>
        <v>354.00355690629021</v>
      </c>
      <c r="L23" s="38"/>
      <c r="M23" s="6"/>
      <c r="N23" s="3"/>
      <c r="O23" s="3"/>
      <c r="P23" s="3"/>
      <c r="Q23" s="3"/>
      <c r="R23" s="3"/>
      <c r="S23" s="3"/>
      <c r="T23" s="38"/>
      <c r="U23" s="6"/>
      <c r="V23" s="3"/>
      <c r="W23" s="3"/>
      <c r="X23" s="3"/>
      <c r="Y23" s="3"/>
      <c r="Z23" s="3"/>
      <c r="AA23" s="38"/>
      <c r="AB23" s="6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t="s">
        <v>10</v>
      </c>
      <c r="B24" t="s">
        <v>42</v>
      </c>
      <c r="C24" s="3"/>
      <c r="D24" s="11">
        <f>D16-D21</f>
        <v>234.27635407990954</v>
      </c>
      <c r="E24" t="s">
        <v>43</v>
      </c>
      <c r="F24" s="3"/>
      <c r="G24" s="26">
        <f>-(G16-G21)</f>
        <v>351.16535303588739</v>
      </c>
      <c r="L24" s="38"/>
      <c r="M24" s="6"/>
      <c r="N24" s="3"/>
      <c r="O24" s="3"/>
      <c r="P24" s="3"/>
      <c r="Q24" s="3"/>
      <c r="R24" s="3"/>
      <c r="S24" s="3"/>
      <c r="T24" s="38"/>
      <c r="U24" s="6"/>
      <c r="V24" s="3"/>
      <c r="W24" s="3"/>
      <c r="X24" s="3"/>
      <c r="Y24" s="3"/>
      <c r="Z24" s="3"/>
      <c r="AA24" s="38"/>
      <c r="AB24" s="6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D25" s="7"/>
      <c r="E25" s="32">
        <f>D24/G24</f>
        <v>0.66713971653111126</v>
      </c>
      <c r="L25" s="38"/>
      <c r="M25" s="6"/>
      <c r="N25" s="3"/>
      <c r="O25" s="3"/>
      <c r="P25" s="3"/>
      <c r="Q25" s="3"/>
      <c r="R25" s="3"/>
      <c r="S25" s="3"/>
      <c r="T25" s="38"/>
      <c r="U25" s="6"/>
      <c r="V25" s="3"/>
      <c r="W25" s="3"/>
      <c r="X25" s="3"/>
      <c r="Y25" s="3"/>
      <c r="Z25" s="3"/>
      <c r="AA25" s="38"/>
      <c r="AB25" s="6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L26" s="38"/>
      <c r="M26" s="6"/>
      <c r="N26" s="3"/>
      <c r="O26" s="3"/>
      <c r="P26" s="3"/>
      <c r="Q26" s="3"/>
      <c r="R26" s="3"/>
      <c r="S26" s="3"/>
      <c r="T26" s="38"/>
      <c r="U26" s="6"/>
      <c r="V26" s="3"/>
      <c r="W26" s="3"/>
      <c r="X26" s="3"/>
      <c r="Y26" s="3"/>
      <c r="Z26" s="3"/>
      <c r="AA26" s="38"/>
      <c r="AB26" s="6"/>
      <c r="AC26" s="3"/>
      <c r="AD26" s="3"/>
      <c r="AE26" s="3"/>
      <c r="AF26" s="3"/>
      <c r="AG26" s="3"/>
      <c r="AH26" s="3"/>
      <c r="AI26" s="3"/>
      <c r="AJ26" s="3"/>
    </row>
    <row r="28" spans="1:36" x14ac:dyDescent="0.25">
      <c r="B28" t="s">
        <v>11</v>
      </c>
    </row>
    <row r="29" spans="1:36" x14ac:dyDescent="0.25">
      <c r="B29" t="s">
        <v>12</v>
      </c>
      <c r="C29" t="s">
        <v>14</v>
      </c>
      <c r="D29" t="s">
        <v>15</v>
      </c>
      <c r="E29" t="s">
        <v>18</v>
      </c>
      <c r="F29" t="s">
        <v>13</v>
      </c>
    </row>
    <row r="30" spans="1:36" x14ac:dyDescent="0.25">
      <c r="B30">
        <v>1</v>
      </c>
      <c r="C30">
        <v>1.19804</v>
      </c>
      <c r="D30">
        <v>2.6411999999999998E-3</v>
      </c>
      <c r="E30">
        <f>D30*20</f>
        <v>5.2823999999999996E-2</v>
      </c>
      <c r="F30">
        <f>CONVERT(E30,"lbm","g")/1000</f>
        <v>2.3960563352879997E-2</v>
      </c>
    </row>
    <row r="32" spans="1:36" x14ac:dyDescent="0.25">
      <c r="B32" t="s">
        <v>16</v>
      </c>
      <c r="C32">
        <v>20</v>
      </c>
      <c r="D32" t="s">
        <v>17</v>
      </c>
      <c r="I32" s="5"/>
      <c r="J32" s="5"/>
      <c r="K32" s="5"/>
    </row>
    <row r="34" spans="2:7" x14ac:dyDescent="0.25">
      <c r="B34" t="s">
        <v>22</v>
      </c>
    </row>
    <row r="35" spans="2:7" x14ac:dyDescent="0.25">
      <c r="B35" s="28">
        <v>1</v>
      </c>
      <c r="C35" t="s">
        <v>55</v>
      </c>
      <c r="E35">
        <v>1</v>
      </c>
      <c r="F35" t="s">
        <v>24</v>
      </c>
    </row>
    <row r="36" spans="2:7" x14ac:dyDescent="0.25">
      <c r="B36" s="3">
        <f>B35*1000000</f>
        <v>1000000</v>
      </c>
      <c r="C36" t="s">
        <v>19</v>
      </c>
      <c r="E36">
        <f>E35*24</f>
        <v>24</v>
      </c>
      <c r="F36" t="s">
        <v>26</v>
      </c>
    </row>
    <row r="37" spans="2:7" x14ac:dyDescent="0.25">
      <c r="B37" s="2">
        <f>B36/24/3600</f>
        <v>11.574074074074073</v>
      </c>
      <c r="C37" t="s">
        <v>20</v>
      </c>
      <c r="E37" s="3">
        <f>E36*60</f>
        <v>1440</v>
      </c>
      <c r="F37" t="s">
        <v>25</v>
      </c>
    </row>
    <row r="38" spans="2:7" x14ac:dyDescent="0.25">
      <c r="B38" s="4">
        <f>B37*F30</f>
        <v>0.27732133510277773</v>
      </c>
      <c r="C38" t="s">
        <v>21</v>
      </c>
      <c r="E38" s="3">
        <f>E37*60</f>
        <v>86400</v>
      </c>
      <c r="F38" t="s">
        <v>27</v>
      </c>
    </row>
    <row r="39" spans="2:7" x14ac:dyDescent="0.25">
      <c r="B39" s="3">
        <f>B36*F30</f>
        <v>23960.563352879995</v>
      </c>
      <c r="C39" t="s">
        <v>28</v>
      </c>
    </row>
    <row r="40" spans="2:7" x14ac:dyDescent="0.25">
      <c r="B40" s="2">
        <f>D24*B38</f>
        <v>64.969831296451602</v>
      </c>
      <c r="C40" t="s">
        <v>23</v>
      </c>
      <c r="D40" t="s">
        <v>56</v>
      </c>
      <c r="F40" s="33">
        <f>D24*B38</f>
        <v>64.969831296451602</v>
      </c>
    </row>
    <row r="41" spans="2:7" x14ac:dyDescent="0.25">
      <c r="B41" s="10">
        <f>G24*B38</f>
        <v>97.38564454575058</v>
      </c>
      <c r="C41" t="s">
        <v>23</v>
      </c>
      <c r="D41" t="s">
        <v>57</v>
      </c>
      <c r="F41" s="33">
        <f>G24*B38</f>
        <v>97.38564454575058</v>
      </c>
      <c r="G41" s="32">
        <f>F40/F41</f>
        <v>0.66713971653111126</v>
      </c>
    </row>
    <row r="75" spans="25:36" x14ac:dyDescent="0.25">
      <c r="AB75" s="39"/>
      <c r="AC75" s="39"/>
      <c r="AD75" s="39"/>
    </row>
    <row r="76" spans="25:36" x14ac:dyDescent="0.25">
      <c r="AC76" s="6"/>
      <c r="AD76" s="6"/>
      <c r="AE76" s="6"/>
      <c r="AF76" s="6"/>
      <c r="AG76" s="6"/>
      <c r="AH76" s="19"/>
      <c r="AI76" s="6"/>
      <c r="AJ76" s="6"/>
    </row>
    <row r="77" spans="25:36" x14ac:dyDescent="0.25">
      <c r="AC77" s="6"/>
      <c r="AD77" s="6"/>
      <c r="AE77" s="6"/>
      <c r="AF77" s="6"/>
      <c r="AG77" s="6"/>
      <c r="AH77" s="6"/>
      <c r="AI77" s="6"/>
      <c r="AJ77" s="6"/>
    </row>
    <row r="78" spans="25:36" ht="15" customHeight="1" x14ac:dyDescent="0.25">
      <c r="Y78" s="3"/>
      <c r="Z78" s="40"/>
      <c r="AA78" s="6"/>
      <c r="AB78" s="6"/>
      <c r="AC78" s="3"/>
      <c r="AD78" s="3"/>
      <c r="AE78" s="3"/>
      <c r="AG78" s="3"/>
      <c r="AH78" s="3"/>
      <c r="AI78" s="3"/>
      <c r="AJ78" s="3"/>
    </row>
    <row r="79" spans="25:36" x14ac:dyDescent="0.25">
      <c r="Y79" s="3"/>
      <c r="Z79" s="40"/>
      <c r="AA79" s="6"/>
      <c r="AB79" s="6"/>
      <c r="AC79" s="3"/>
      <c r="AD79" s="3"/>
      <c r="AE79" s="3"/>
      <c r="AF79" s="3"/>
      <c r="AG79" s="3"/>
      <c r="AH79" s="3"/>
      <c r="AI79" s="3"/>
      <c r="AJ79" s="3"/>
    </row>
    <row r="80" spans="25:36" ht="15" customHeight="1" x14ac:dyDescent="0.25">
      <c r="Z80" s="40"/>
      <c r="AA80" s="6"/>
      <c r="AB80" s="6"/>
      <c r="AC80" s="3"/>
      <c r="AD80" s="3"/>
      <c r="AE80" s="3"/>
      <c r="AF80" s="3"/>
      <c r="AG80" s="3"/>
      <c r="AH80" s="3"/>
      <c r="AI80" s="3"/>
      <c r="AJ80" s="3"/>
    </row>
    <row r="81" spans="12:36" ht="15" customHeight="1" x14ac:dyDescent="0.25">
      <c r="Z81" s="40"/>
      <c r="AA81" s="6"/>
      <c r="AB81" s="6"/>
      <c r="AC81" s="3"/>
      <c r="AD81" s="3"/>
      <c r="AE81" s="3"/>
      <c r="AF81" s="3"/>
      <c r="AG81" s="3"/>
      <c r="AH81" s="3"/>
      <c r="AJ81" s="3"/>
    </row>
    <row r="82" spans="12:36" x14ac:dyDescent="0.25">
      <c r="AJ82" s="3"/>
    </row>
    <row r="83" spans="12:36" x14ac:dyDescent="0.25">
      <c r="Y83" s="3"/>
      <c r="AJ83" s="3"/>
    </row>
    <row r="84" spans="12:36" x14ac:dyDescent="0.25">
      <c r="AJ84" s="3"/>
    </row>
    <row r="87" spans="12:36" x14ac:dyDescent="0.25">
      <c r="L87" s="20"/>
      <c r="M87" s="6"/>
      <c r="N87" s="3"/>
      <c r="O87" s="3"/>
      <c r="P87" s="3"/>
      <c r="Q87" s="3"/>
      <c r="R87" s="3"/>
      <c r="S87" s="3"/>
      <c r="T87" s="3"/>
      <c r="U87" s="3"/>
    </row>
    <row r="88" spans="12:36" x14ac:dyDescent="0.25">
      <c r="L88" s="20"/>
      <c r="M88" s="6"/>
      <c r="N88" s="3"/>
      <c r="O88" s="3"/>
      <c r="P88" s="3"/>
      <c r="Q88" s="3"/>
      <c r="R88" s="3"/>
      <c r="S88" s="3"/>
      <c r="T88" s="3"/>
      <c r="U88" s="3"/>
    </row>
    <row r="133" spans="13:21" x14ac:dyDescent="0.25">
      <c r="N133" s="39" t="s">
        <v>75</v>
      </c>
      <c r="O133" s="39"/>
      <c r="P133" s="39"/>
      <c r="R133" t="s">
        <v>71</v>
      </c>
      <c r="T133">
        <v>3000</v>
      </c>
      <c r="U133" t="s">
        <v>6</v>
      </c>
    </row>
    <row r="134" spans="13:21" x14ac:dyDescent="0.25">
      <c r="O134" s="6" t="s">
        <v>73</v>
      </c>
      <c r="P134" s="6"/>
      <c r="Q134" s="6"/>
      <c r="R134" s="6"/>
      <c r="S134" s="6"/>
      <c r="T134" s="19">
        <f>T133*0.0689476</f>
        <v>206.84279999999998</v>
      </c>
      <c r="U134" s="6" t="s">
        <v>72</v>
      </c>
    </row>
    <row r="135" spans="13:21" x14ac:dyDescent="0.25">
      <c r="N135" s="8"/>
      <c r="O135" s="6">
        <v>200</v>
      </c>
      <c r="P135" s="6">
        <v>250</v>
      </c>
      <c r="Q135" s="6">
        <v>300</v>
      </c>
      <c r="R135" s="6">
        <v>350</v>
      </c>
      <c r="S135" s="6">
        <v>400</v>
      </c>
      <c r="T135" s="6">
        <v>450</v>
      </c>
      <c r="U135" s="6">
        <v>500</v>
      </c>
    </row>
    <row r="136" spans="13:21" x14ac:dyDescent="0.25">
      <c r="M136" s="27" t="s">
        <v>76</v>
      </c>
      <c r="N136" s="6">
        <v>500</v>
      </c>
      <c r="O136" s="3">
        <v>204.81209495484529</v>
      </c>
      <c r="P136" s="3">
        <v>231</v>
      </c>
      <c r="Q136" s="3">
        <v>257</v>
      </c>
      <c r="R136" s="3">
        <v>282</v>
      </c>
      <c r="S136" s="3">
        <v>306</v>
      </c>
      <c r="T136" s="3">
        <v>331</v>
      </c>
      <c r="U136" s="3">
        <v>354</v>
      </c>
    </row>
    <row r="137" spans="13:21" x14ac:dyDescent="0.25">
      <c r="M137" s="27" t="s">
        <v>77</v>
      </c>
      <c r="N137" s="6">
        <v>1000</v>
      </c>
      <c r="O137" s="3">
        <v>139</v>
      </c>
      <c r="P137" s="3">
        <v>156</v>
      </c>
      <c r="Q137" s="3">
        <v>172</v>
      </c>
      <c r="R137" s="3">
        <v>188</v>
      </c>
      <c r="S137" s="3">
        <v>204</v>
      </c>
      <c r="T137" s="3">
        <v>220</v>
      </c>
      <c r="U137" s="3">
        <v>235</v>
      </c>
    </row>
    <row r="138" spans="13:21" x14ac:dyDescent="0.25">
      <c r="N138" s="6"/>
      <c r="O138" s="3"/>
      <c r="P138" s="3"/>
      <c r="Q138" s="3"/>
      <c r="R138" s="3"/>
      <c r="S138" s="3"/>
      <c r="T138" s="3"/>
      <c r="U138" s="3"/>
    </row>
    <row r="139" spans="13:21" x14ac:dyDescent="0.25">
      <c r="N139" s="6"/>
      <c r="O139" s="3"/>
      <c r="P139" s="3"/>
      <c r="Q139" s="3"/>
      <c r="R139" t="s">
        <v>71</v>
      </c>
      <c r="T139">
        <v>4000</v>
      </c>
      <c r="U139" t="s">
        <v>6</v>
      </c>
    </row>
    <row r="140" spans="13:21" x14ac:dyDescent="0.25">
      <c r="N140" s="6"/>
      <c r="O140" s="6" t="s">
        <v>73</v>
      </c>
      <c r="P140" s="3"/>
      <c r="Q140" s="3"/>
      <c r="R140" s="6"/>
      <c r="S140" s="6"/>
      <c r="T140" s="19">
        <f>T139*0.0689476</f>
        <v>275.79039999999998</v>
      </c>
      <c r="U140" s="6" t="s">
        <v>72</v>
      </c>
    </row>
    <row r="141" spans="13:21" x14ac:dyDescent="0.25">
      <c r="O141" s="6">
        <v>200</v>
      </c>
      <c r="P141" s="6">
        <v>250</v>
      </c>
      <c r="Q141" s="6">
        <v>300</v>
      </c>
      <c r="R141" s="6">
        <v>350</v>
      </c>
      <c r="S141" s="6">
        <v>400</v>
      </c>
      <c r="T141" s="6">
        <v>450</v>
      </c>
      <c r="U141" s="6">
        <v>500</v>
      </c>
    </row>
    <row r="142" spans="13:21" x14ac:dyDescent="0.25">
      <c r="M142" s="27" t="s">
        <v>76</v>
      </c>
      <c r="N142" s="6">
        <v>500</v>
      </c>
      <c r="O142" s="3">
        <v>224</v>
      </c>
      <c r="P142" s="3">
        <v>255</v>
      </c>
      <c r="Q142" s="3">
        <v>285</v>
      </c>
      <c r="R142" s="3">
        <v>314</v>
      </c>
      <c r="S142" s="3">
        <v>343</v>
      </c>
      <c r="T142" s="3">
        <v>372</v>
      </c>
      <c r="U142" s="3">
        <v>399</v>
      </c>
    </row>
    <row r="143" spans="13:21" x14ac:dyDescent="0.25">
      <c r="M143" s="27" t="s">
        <v>77</v>
      </c>
      <c r="N143" s="6">
        <v>1000</v>
      </c>
      <c r="O143" s="3">
        <v>166</v>
      </c>
      <c r="P143" s="3">
        <v>188</v>
      </c>
      <c r="Q143" s="3">
        <v>209</v>
      </c>
      <c r="R143" s="3">
        <v>229</v>
      </c>
      <c r="S143" s="3">
        <v>250</v>
      </c>
      <c r="T143" s="3">
        <v>269</v>
      </c>
      <c r="U143" s="3">
        <v>289</v>
      </c>
    </row>
  </sheetData>
  <mergeCells count="17">
    <mergeCell ref="N133:P133"/>
    <mergeCell ref="B1:C1"/>
    <mergeCell ref="E1:F1"/>
    <mergeCell ref="N1:O1"/>
    <mergeCell ref="M13:O13"/>
    <mergeCell ref="L4:L11"/>
    <mergeCell ref="L16:L26"/>
    <mergeCell ref="AC1:AD1"/>
    <mergeCell ref="AA4:AA11"/>
    <mergeCell ref="AA16:AA26"/>
    <mergeCell ref="AA13:AD13"/>
    <mergeCell ref="AB75:AD75"/>
    <mergeCell ref="V1:W1"/>
    <mergeCell ref="T4:T11"/>
    <mergeCell ref="U13:W13"/>
    <mergeCell ref="T16:T26"/>
    <mergeCell ref="Z78:Z81"/>
  </mergeCells>
  <conditionalFormatting sqref="C9">
    <cfRule type="cellIs" dxfId="0" priority="1" operator="lessThan">
      <formula>40</formula>
    </cfRule>
  </conditionalFormatting>
  <pageMargins left="0.7" right="0.7" top="0.75" bottom="0.75" header="0.3" footer="0.3"/>
  <pageSetup orientation="portrait" r:id="rId1"/>
  <ignoredErrors>
    <ignoredError sqref="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Surface Plant Calcs</vt:lpstr>
      <vt:lpstr>Cp</vt:lpstr>
      <vt:lpstr>CPR</vt:lpstr>
      <vt:lpstr>Cv</vt:lpstr>
      <vt:lpstr>eff_c</vt:lpstr>
      <vt:lpstr>eff_t</vt:lpstr>
      <vt:lpstr>gam</vt:lpstr>
      <vt:lpstr>P_2</vt:lpstr>
      <vt:lpstr>P_3</vt:lpstr>
      <vt:lpstr>P_4</vt:lpstr>
      <vt:lpstr>P_5</vt:lpstr>
      <vt:lpstr>T_2</vt:lpstr>
      <vt:lpstr>T_3</vt:lpstr>
      <vt:lpstr>T_4</vt:lpstr>
      <vt:lpstr>T_5</vt:lpstr>
      <vt:lpstr>TPR</vt:lpstr>
      <vt:lpstr>Work_in</vt:lpstr>
      <vt:lpstr>Work_out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2021-10-20T22:38:32Z</dcterms:modified>
</cp:coreProperties>
</file>