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imegcorp.sharepoint.com/sites/23007327.00/Shared Documents/General/Energy Model/Carbon and Cost summary/"/>
    </mc:Choice>
  </mc:AlternateContent>
  <xr:revisionPtr revIDLastSave="1270" documentId="8_{4884CC22-FA13-4BC9-B91F-0ED474389C4B}" xr6:coauthVersionLast="47" xr6:coauthVersionMax="47" xr10:uidLastSave="{64816058-237D-4B8A-8AA9-6F1B90108258}"/>
  <bookViews>
    <workbookView xWindow="0" yWindow="0" windowWidth="21943" windowHeight="13114" firstSheet="3" activeTab="3" xr2:uid="{5C62E59E-71DC-4EC9-B6DC-0A9F289E2B3F}"/>
  </bookViews>
  <sheets>
    <sheet name="Carbon" sheetId="1" state="hidden" r:id="rId1"/>
    <sheet name="Costs" sheetId="3" state="hidden" r:id="rId2"/>
    <sheet name="Carbon - Q3" sheetId="4" state="hidden" r:id="rId3"/>
    <sheet name="Carbon - Final" sheetId="6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8" i="6" l="1"/>
  <c r="R67" i="6"/>
  <c r="R66" i="6"/>
  <c r="Q68" i="6"/>
  <c r="Q67" i="6"/>
  <c r="Q66" i="6"/>
  <c r="P66" i="6" l="1"/>
  <c r="P67" i="6"/>
  <c r="P68" i="6"/>
  <c r="K38" i="6" l="1"/>
  <c r="O39" i="6"/>
  <c r="N38" i="6"/>
  <c r="E39" i="6"/>
  <c r="E40" i="6"/>
  <c r="I40" i="6"/>
  <c r="I39" i="6"/>
  <c r="D40" i="6"/>
  <c r="D39" i="6"/>
  <c r="J40" i="6" l="1"/>
  <c r="J39" i="6"/>
  <c r="D53" i="6"/>
  <c r="K53" i="6" s="1"/>
  <c r="H52" i="6"/>
  <c r="D52" i="6"/>
  <c r="L51" i="6"/>
  <c r="K51" i="6"/>
  <c r="J51" i="6"/>
  <c r="H50" i="6"/>
  <c r="F50" i="6"/>
  <c r="D50" i="6"/>
  <c r="J50" i="6" s="1"/>
  <c r="L49" i="6"/>
  <c r="K49" i="6"/>
  <c r="J49" i="6"/>
  <c r="H48" i="6"/>
  <c r="D48" i="6"/>
  <c r="J48" i="6" s="1"/>
  <c r="L47" i="6"/>
  <c r="K47" i="6"/>
  <c r="J47" i="6"/>
  <c r="H46" i="6"/>
  <c r="D46" i="6"/>
  <c r="L45" i="6"/>
  <c r="K45" i="6"/>
  <c r="J45" i="6"/>
  <c r="H44" i="6"/>
  <c r="D44" i="6"/>
  <c r="L43" i="6"/>
  <c r="K43" i="6"/>
  <c r="J43" i="6"/>
  <c r="H42" i="6"/>
  <c r="D42" i="6"/>
  <c r="K42" i="6" s="1"/>
  <c r="L41" i="6"/>
  <c r="K41" i="6"/>
  <c r="J41" i="6"/>
  <c r="D38" i="6"/>
  <c r="K37" i="6"/>
  <c r="I37" i="6"/>
  <c r="J37" i="6" s="1"/>
  <c r="H37" i="6"/>
  <c r="G21" i="6"/>
  <c r="D13" i="6"/>
  <c r="F13" i="6" s="1"/>
  <c r="F12" i="6"/>
  <c r="L12" i="6" s="1"/>
  <c r="E12" i="6"/>
  <c r="G12" i="6" s="1"/>
  <c r="F10" i="6"/>
  <c r="E10" i="6"/>
  <c r="G10" i="6" s="1"/>
  <c r="N9" i="6"/>
  <c r="M9" i="6"/>
  <c r="L9" i="6"/>
  <c r="K9" i="6"/>
  <c r="G9" i="6"/>
  <c r="H5" i="6"/>
  <c r="H4" i="6"/>
  <c r="H3" i="6"/>
  <c r="M37" i="6" s="1"/>
  <c r="P41" i="4"/>
  <c r="P42" i="4"/>
  <c r="P43" i="4"/>
  <c r="P44" i="4"/>
  <c r="P45" i="4"/>
  <c r="P46" i="4"/>
  <c r="P47" i="4"/>
  <c r="P48" i="4"/>
  <c r="P49" i="4"/>
  <c r="D46" i="4"/>
  <c r="J46" i="4" s="1"/>
  <c r="S46" i="4" s="1"/>
  <c r="K44" i="4"/>
  <c r="H44" i="4"/>
  <c r="L44" i="4" s="1"/>
  <c r="J44" i="4"/>
  <c r="M44" i="4"/>
  <c r="N44" i="4"/>
  <c r="O44" i="4"/>
  <c r="J45" i="4"/>
  <c r="S45" i="4" s="1"/>
  <c r="K45" i="4"/>
  <c r="L45" i="4"/>
  <c r="M45" i="4"/>
  <c r="N45" i="4"/>
  <c r="Q45" i="4" s="1"/>
  <c r="O45" i="4"/>
  <c r="R45" i="4"/>
  <c r="H46" i="4"/>
  <c r="L46" i="4" s="1"/>
  <c r="J47" i="4"/>
  <c r="S47" i="4" s="1"/>
  <c r="U47" i="4" s="1"/>
  <c r="K47" i="4"/>
  <c r="L47" i="4"/>
  <c r="M47" i="4"/>
  <c r="N47" i="4"/>
  <c r="O47" i="4"/>
  <c r="F48" i="4"/>
  <c r="K48" i="4"/>
  <c r="T48" i="4" s="1"/>
  <c r="H48" i="4"/>
  <c r="J48" i="4"/>
  <c r="S48" i="4" s="1"/>
  <c r="L48" i="4"/>
  <c r="J49" i="4"/>
  <c r="S49" i="4" s="1"/>
  <c r="K49" i="4"/>
  <c r="T49" i="4" s="1"/>
  <c r="L49" i="4"/>
  <c r="Q49" i="4" s="1"/>
  <c r="M49" i="4"/>
  <c r="N49" i="4"/>
  <c r="O49" i="4"/>
  <c r="R49" i="4"/>
  <c r="O50" i="4"/>
  <c r="H50" i="4"/>
  <c r="L50" i="4" s="1"/>
  <c r="J50" i="4"/>
  <c r="J39" i="4"/>
  <c r="K39" i="4"/>
  <c r="T39" i="4" s="1"/>
  <c r="L39" i="4"/>
  <c r="M39" i="4"/>
  <c r="N39" i="4"/>
  <c r="O39" i="4"/>
  <c r="R39" i="4" s="1"/>
  <c r="P39" i="4"/>
  <c r="Q39" i="4"/>
  <c r="S39" i="4"/>
  <c r="H40" i="4"/>
  <c r="J40" i="4"/>
  <c r="K40" i="4"/>
  <c r="T40" i="4" s="1"/>
  <c r="L40" i="4"/>
  <c r="P40" i="4" s="1"/>
  <c r="M40" i="4"/>
  <c r="N40" i="4"/>
  <c r="O40" i="4"/>
  <c r="S40" i="4"/>
  <c r="U40" i="4" s="1"/>
  <c r="J41" i="4"/>
  <c r="S41" i="4" s="1"/>
  <c r="K41" i="4"/>
  <c r="T41" i="4" s="1"/>
  <c r="L41" i="4"/>
  <c r="Q41" i="4" s="1"/>
  <c r="M41" i="4"/>
  <c r="N41" i="4"/>
  <c r="O41" i="4"/>
  <c r="R41" i="4" s="1"/>
  <c r="H42" i="4"/>
  <c r="L42" i="4" s="1"/>
  <c r="J42" i="4"/>
  <c r="S42" i="4"/>
  <c r="J43" i="4"/>
  <c r="S43" i="4" s="1"/>
  <c r="K43" i="4"/>
  <c r="T43" i="4" s="1"/>
  <c r="L43" i="4"/>
  <c r="M43" i="4"/>
  <c r="N43" i="4"/>
  <c r="O43" i="4"/>
  <c r="S44" i="4"/>
  <c r="T45" i="4"/>
  <c r="T47" i="4"/>
  <c r="S50" i="4"/>
  <c r="M38" i="6" l="1"/>
  <c r="O38" i="6"/>
  <c r="O51" i="6"/>
  <c r="O41" i="6"/>
  <c r="J38" i="6"/>
  <c r="L50" i="6"/>
  <c r="K50" i="6"/>
  <c r="L52" i="6"/>
  <c r="N53" i="6"/>
  <c r="J53" i="6"/>
  <c r="M53" i="6"/>
  <c r="L53" i="6"/>
  <c r="O53" i="6"/>
  <c r="J10" i="6"/>
  <c r="J42" i="6"/>
  <c r="O44" i="6"/>
  <c r="L48" i="6"/>
  <c r="K48" i="6"/>
  <c r="K12" i="6"/>
  <c r="M46" i="6"/>
  <c r="G15" i="6"/>
  <c r="H21" i="6" s="1"/>
  <c r="L42" i="6"/>
  <c r="N50" i="6"/>
  <c r="O49" i="6"/>
  <c r="R49" i="6" s="1"/>
  <c r="K10" i="6"/>
  <c r="H38" i="6"/>
  <c r="L10" i="6"/>
  <c r="L16" i="6" s="1"/>
  <c r="O50" i="6"/>
  <c r="R50" i="6" s="1"/>
  <c r="R41" i="6"/>
  <c r="J12" i="6"/>
  <c r="L37" i="6"/>
  <c r="O42" i="6"/>
  <c r="L46" i="6"/>
  <c r="N44" i="6"/>
  <c r="R51" i="6"/>
  <c r="M51" i="6"/>
  <c r="P51" i="6" s="1"/>
  <c r="M48" i="6"/>
  <c r="M45" i="6"/>
  <c r="P45" i="6" s="1"/>
  <c r="M49" i="6"/>
  <c r="P49" i="6" s="1"/>
  <c r="M41" i="6"/>
  <c r="P41" i="6" s="1"/>
  <c r="M47" i="6"/>
  <c r="P47" i="6" s="1"/>
  <c r="M42" i="6"/>
  <c r="H9" i="6"/>
  <c r="N49" i="6"/>
  <c r="Q49" i="6" s="1"/>
  <c r="N41" i="6"/>
  <c r="Q41" i="6" s="1"/>
  <c r="N47" i="6"/>
  <c r="Q47" i="6" s="1"/>
  <c r="N52" i="6"/>
  <c r="N43" i="6"/>
  <c r="Q43" i="6" s="1"/>
  <c r="N42" i="6"/>
  <c r="N37" i="6"/>
  <c r="I9" i="6"/>
  <c r="N51" i="6"/>
  <c r="Q51" i="6" s="1"/>
  <c r="N48" i="6"/>
  <c r="N45" i="6"/>
  <c r="Q45" i="6" s="1"/>
  <c r="N46" i="6"/>
  <c r="L13" i="6"/>
  <c r="I13" i="6"/>
  <c r="J13" i="6"/>
  <c r="H13" i="6"/>
  <c r="M43" i="6"/>
  <c r="P43" i="6" s="1"/>
  <c r="M52" i="6"/>
  <c r="I10" i="6"/>
  <c r="O43" i="6"/>
  <c r="R43" i="6" s="1"/>
  <c r="O52" i="6"/>
  <c r="M10" i="6"/>
  <c r="N10" i="6"/>
  <c r="O48" i="6"/>
  <c r="H12" i="6"/>
  <c r="J46" i="6"/>
  <c r="J52" i="6"/>
  <c r="J9" i="6"/>
  <c r="H10" i="6"/>
  <c r="I12" i="6"/>
  <c r="O37" i="6"/>
  <c r="M44" i="6"/>
  <c r="K46" i="6"/>
  <c r="O47" i="6"/>
  <c r="R47" i="6" s="1"/>
  <c r="M50" i="6"/>
  <c r="P50" i="6" s="1"/>
  <c r="K52" i="6"/>
  <c r="O46" i="6"/>
  <c r="J44" i="6"/>
  <c r="K44" i="6"/>
  <c r="O45" i="6"/>
  <c r="R45" i="6" s="1"/>
  <c r="F11" i="6"/>
  <c r="L44" i="6"/>
  <c r="K50" i="4"/>
  <c r="T50" i="4" s="1"/>
  <c r="N50" i="4"/>
  <c r="Q50" i="4" s="1"/>
  <c r="M50" i="4"/>
  <c r="P50" i="4" s="1"/>
  <c r="U48" i="4"/>
  <c r="E48" i="4"/>
  <c r="N48" i="4" s="1"/>
  <c r="Q48" i="4" s="1"/>
  <c r="P53" i="4"/>
  <c r="Q47" i="4"/>
  <c r="Q53" i="4" s="1"/>
  <c r="K46" i="4"/>
  <c r="T46" i="4" s="1"/>
  <c r="U45" i="4"/>
  <c r="Q44" i="4"/>
  <c r="R44" i="4"/>
  <c r="R50" i="4"/>
  <c r="R47" i="4"/>
  <c r="R53" i="4" s="1"/>
  <c r="U49" i="4"/>
  <c r="U46" i="4"/>
  <c r="R43" i="4"/>
  <c r="U43" i="4"/>
  <c r="U41" i="4"/>
  <c r="U39" i="4"/>
  <c r="U50" i="4"/>
  <c r="R40" i="4"/>
  <c r="Q40" i="4"/>
  <c r="Q43" i="4"/>
  <c r="L38" i="6" l="1"/>
  <c r="H40" i="6"/>
  <c r="H39" i="6"/>
  <c r="Q50" i="6"/>
  <c r="R52" i="6"/>
  <c r="Q52" i="6"/>
  <c r="P52" i="6"/>
  <c r="R44" i="6"/>
  <c r="P48" i="6"/>
  <c r="R53" i="6"/>
  <c r="R48" i="6"/>
  <c r="P53" i="6"/>
  <c r="Q37" i="6"/>
  <c r="Q56" i="6" s="1"/>
  <c r="Q42" i="6"/>
  <c r="Q48" i="6"/>
  <c r="R42" i="6"/>
  <c r="K15" i="6"/>
  <c r="Q53" i="6"/>
  <c r="P46" i="6"/>
  <c r="R46" i="6"/>
  <c r="Q46" i="6"/>
  <c r="P42" i="6"/>
  <c r="P37" i="6"/>
  <c r="P56" i="6" s="1"/>
  <c r="R37" i="6"/>
  <c r="R56" i="6" s="1"/>
  <c r="I16" i="6"/>
  <c r="I11" i="6"/>
  <c r="I17" i="6" s="1"/>
  <c r="H23" i="6" s="1"/>
  <c r="H11" i="6"/>
  <c r="H17" i="6" s="1"/>
  <c r="H22" i="6" s="1"/>
  <c r="J11" i="6"/>
  <c r="J17" i="6" s="1"/>
  <c r="H24" i="6" s="1"/>
  <c r="L11" i="6"/>
  <c r="L17" i="6" s="1"/>
  <c r="J16" i="6"/>
  <c r="Q44" i="6"/>
  <c r="P44" i="6"/>
  <c r="H16" i="6"/>
  <c r="O48" i="4"/>
  <c r="R48" i="4" s="1"/>
  <c r="M48" i="4"/>
  <c r="M46" i="4"/>
  <c r="N46" i="4"/>
  <c r="Q46" i="4" s="1"/>
  <c r="O46" i="4"/>
  <c r="R46" i="4" s="1"/>
  <c r="U53" i="4"/>
  <c r="P38" i="6" l="1"/>
  <c r="R38" i="6"/>
  <c r="R57" i="6" s="1"/>
  <c r="Q38" i="6"/>
  <c r="L39" i="6"/>
  <c r="L40" i="6"/>
  <c r="Q57" i="6"/>
  <c r="Q58" i="6" s="1"/>
  <c r="P57" i="6"/>
  <c r="P58" i="6" s="1"/>
  <c r="L37" i="4"/>
  <c r="J37" i="4"/>
  <c r="I37" i="4"/>
  <c r="H37" i="4"/>
  <c r="O40" i="6" l="1"/>
  <c r="R40" i="6" s="1"/>
  <c r="R61" i="6" s="1"/>
  <c r="M40" i="6"/>
  <c r="P40" i="6" s="1"/>
  <c r="P61" i="6" s="1"/>
  <c r="N40" i="6"/>
  <c r="Q40" i="6" s="1"/>
  <c r="Q61" i="6" s="1"/>
  <c r="R39" i="6"/>
  <c r="R60" i="6" s="1"/>
  <c r="N39" i="6"/>
  <c r="Q39" i="6" s="1"/>
  <c r="Q60" i="6" s="1"/>
  <c r="M39" i="6"/>
  <c r="P39" i="6" s="1"/>
  <c r="P60" i="6" s="1"/>
  <c r="D50" i="4"/>
  <c r="D48" i="4"/>
  <c r="T44" i="4"/>
  <c r="U44" i="4" s="1"/>
  <c r="D44" i="4"/>
  <c r="K42" i="4"/>
  <c r="T42" i="4" s="1"/>
  <c r="U42" i="4" s="1"/>
  <c r="D42" i="4"/>
  <c r="D40" i="4"/>
  <c r="H38" i="4"/>
  <c r="D38" i="4"/>
  <c r="K37" i="4"/>
  <c r="T37" i="4" s="1"/>
  <c r="S37" i="4"/>
  <c r="G21" i="4"/>
  <c r="D13" i="4"/>
  <c r="F13" i="4" s="1"/>
  <c r="F12" i="4"/>
  <c r="J12" i="4" s="1"/>
  <c r="E12" i="4"/>
  <c r="G12" i="4" s="1"/>
  <c r="L10" i="4"/>
  <c r="K10" i="4"/>
  <c r="F10" i="4"/>
  <c r="E10" i="4"/>
  <c r="G10" i="4" s="1"/>
  <c r="G15" i="4" s="1"/>
  <c r="H21" i="4" s="1"/>
  <c r="N9" i="4"/>
  <c r="M9" i="4"/>
  <c r="L9" i="4"/>
  <c r="K9" i="4"/>
  <c r="G9" i="4"/>
  <c r="H5" i="4"/>
  <c r="H4" i="4"/>
  <c r="H3" i="4"/>
  <c r="M37" i="4" s="1"/>
  <c r="P37" i="4" s="1"/>
  <c r="Q54" i="1"/>
  <c r="S37" i="1"/>
  <c r="E38" i="1"/>
  <c r="F38" i="1"/>
  <c r="G38" i="1"/>
  <c r="P53" i="3"/>
  <c r="G53" i="3"/>
  <c r="E52" i="3"/>
  <c r="K16" i="3"/>
  <c r="N16" i="3" s="1"/>
  <c r="J16" i="3"/>
  <c r="K15" i="3"/>
  <c r="N15" i="3" s="1"/>
  <c r="J15" i="3"/>
  <c r="G12" i="3"/>
  <c r="G11" i="3"/>
  <c r="G10" i="3"/>
  <c r="G9" i="3"/>
  <c r="G8" i="3"/>
  <c r="G7" i="3"/>
  <c r="U54" i="4" l="1"/>
  <c r="O38" i="4"/>
  <c r="U37" i="4"/>
  <c r="L38" i="4"/>
  <c r="J38" i="4"/>
  <c r="S38" i="4" s="1"/>
  <c r="K38" i="4"/>
  <c r="T38" i="4" s="1"/>
  <c r="U38" i="4" s="1"/>
  <c r="L12" i="4"/>
  <c r="L16" i="4" s="1"/>
  <c r="I9" i="4"/>
  <c r="N37" i="4"/>
  <c r="Q37" i="4" s="1"/>
  <c r="O37" i="4"/>
  <c r="R37" i="4" s="1"/>
  <c r="J9" i="4"/>
  <c r="J10" i="4"/>
  <c r="L13" i="4"/>
  <c r="I13" i="4"/>
  <c r="H13" i="4"/>
  <c r="J13" i="4"/>
  <c r="H9" i="4"/>
  <c r="I10" i="4"/>
  <c r="K12" i="4"/>
  <c r="K15" i="4" s="1"/>
  <c r="F11" i="4"/>
  <c r="H10" i="4"/>
  <c r="I12" i="4"/>
  <c r="M10" i="4"/>
  <c r="M38" i="4"/>
  <c r="P38" i="4" s="1"/>
  <c r="N10" i="4"/>
  <c r="N38" i="4"/>
  <c r="Q38" i="4" s="1"/>
  <c r="H12" i="4"/>
  <c r="L16" i="3"/>
  <c r="O16" i="3" s="1"/>
  <c r="L15" i="3"/>
  <c r="O15" i="3" s="1"/>
  <c r="M42" i="4" l="1"/>
  <c r="P54" i="4" s="1"/>
  <c r="N42" i="4"/>
  <c r="Q42" i="4" s="1"/>
  <c r="Q54" i="4" s="1"/>
  <c r="O42" i="4"/>
  <c r="R42" i="4" s="1"/>
  <c r="R54" i="4" s="1"/>
  <c r="R38" i="4"/>
  <c r="I11" i="4"/>
  <c r="H11" i="4"/>
  <c r="J11" i="4"/>
  <c r="L11" i="4"/>
  <c r="L17" i="4"/>
  <c r="H17" i="4"/>
  <c r="H22" i="4" s="1"/>
  <c r="H16" i="4"/>
  <c r="I17" i="4"/>
  <c r="H23" i="4" s="1"/>
  <c r="I16" i="4"/>
  <c r="J16" i="4"/>
  <c r="J17" i="4"/>
  <c r="H24" i="4" s="1"/>
  <c r="R53" i="1"/>
  <c r="L43" i="1"/>
  <c r="L37" i="1"/>
  <c r="P37" i="1"/>
  <c r="M37" i="1"/>
  <c r="Q53" i="1"/>
  <c r="P53" i="1"/>
  <c r="J41" i="1"/>
  <c r="L38" i="1"/>
  <c r="K38" i="1"/>
  <c r="K37" i="1"/>
  <c r="J45" i="1"/>
  <c r="J37" i="1"/>
  <c r="G50" i="1"/>
  <c r="K50" i="1" s="1"/>
  <c r="T50" i="1" s="1"/>
  <c r="G48" i="1"/>
  <c r="G46" i="1"/>
  <c r="G44" i="1"/>
  <c r="G42" i="1"/>
  <c r="G40" i="1"/>
  <c r="E40" i="1" s="1"/>
  <c r="H48" i="1"/>
  <c r="L50" i="1"/>
  <c r="J50" i="1"/>
  <c r="S50" i="1" s="1"/>
  <c r="O49" i="1"/>
  <c r="N49" i="1"/>
  <c r="M49" i="1"/>
  <c r="L49" i="1"/>
  <c r="K49" i="1"/>
  <c r="T49" i="1" s="1"/>
  <c r="J49" i="1"/>
  <c r="S49" i="1" s="1"/>
  <c r="U49" i="1" s="1"/>
  <c r="H50" i="1"/>
  <c r="F50" i="1"/>
  <c r="D50" i="1"/>
  <c r="H38" i="1"/>
  <c r="G21" i="1"/>
  <c r="D13" i="1"/>
  <c r="F13" i="1" s="1"/>
  <c r="J47" i="1"/>
  <c r="S47" i="1" s="1"/>
  <c r="S45" i="1"/>
  <c r="J43" i="1"/>
  <c r="S43" i="1" s="1"/>
  <c r="S41" i="1"/>
  <c r="J39" i="1"/>
  <c r="S39" i="1"/>
  <c r="L9" i="1"/>
  <c r="K9" i="1"/>
  <c r="L39" i="1"/>
  <c r="F10" i="1"/>
  <c r="L10" i="1" s="1"/>
  <c r="E10" i="1"/>
  <c r="K10" i="1" s="1"/>
  <c r="M10" i="1"/>
  <c r="N10" i="1"/>
  <c r="N9" i="1"/>
  <c r="M9" i="1"/>
  <c r="F12" i="1"/>
  <c r="L12" i="1" s="1"/>
  <c r="G9" i="1"/>
  <c r="L41" i="1"/>
  <c r="L45" i="1"/>
  <c r="L47" i="1"/>
  <c r="H40" i="1"/>
  <c r="K47" i="1"/>
  <c r="T47" i="1" s="1"/>
  <c r="K45" i="1"/>
  <c r="T45" i="1" s="1"/>
  <c r="K43" i="1"/>
  <c r="T43" i="1" s="1"/>
  <c r="K41" i="1"/>
  <c r="T41" i="1" s="1"/>
  <c r="K39" i="1"/>
  <c r="T39" i="1" s="1"/>
  <c r="F48" i="1"/>
  <c r="H46" i="1"/>
  <c r="F46" i="1"/>
  <c r="H44" i="1"/>
  <c r="F44" i="1"/>
  <c r="H42" i="1"/>
  <c r="F42" i="1"/>
  <c r="F40" i="1"/>
  <c r="D48" i="1"/>
  <c r="J48" i="1" s="1"/>
  <c r="S48" i="1" s="1"/>
  <c r="D46" i="1"/>
  <c r="J46" i="1" s="1"/>
  <c r="S46" i="1" s="1"/>
  <c r="D44" i="1"/>
  <c r="J44" i="1" s="1"/>
  <c r="S44" i="1" s="1"/>
  <c r="D42" i="1"/>
  <c r="J42" i="1" s="1"/>
  <c r="S42" i="1" s="1"/>
  <c r="D40" i="1"/>
  <c r="L40" i="1" s="1"/>
  <c r="D38" i="1"/>
  <c r="E12" i="1"/>
  <c r="K12" i="1" s="1"/>
  <c r="G10" i="1"/>
  <c r="H4" i="1"/>
  <c r="N37" i="1" s="1"/>
  <c r="H5" i="1"/>
  <c r="O41" i="1" s="1"/>
  <c r="H3" i="1"/>
  <c r="M45" i="1" s="1"/>
  <c r="E50" i="1" l="1"/>
  <c r="U50" i="1"/>
  <c r="R49" i="1"/>
  <c r="Q49" i="1"/>
  <c r="P49" i="1"/>
  <c r="T38" i="1"/>
  <c r="J38" i="1"/>
  <c r="M38" i="1"/>
  <c r="P38" i="1" s="1"/>
  <c r="P54" i="1" s="1"/>
  <c r="J40" i="1"/>
  <c r="S40" i="1" s="1"/>
  <c r="J10" i="1"/>
  <c r="U39" i="1"/>
  <c r="L16" i="1"/>
  <c r="K15" i="1"/>
  <c r="J12" i="1"/>
  <c r="G12" i="1"/>
  <c r="G15" i="1" s="1"/>
  <c r="H21" i="1" s="1"/>
  <c r="U41" i="1"/>
  <c r="U43" i="1"/>
  <c r="H10" i="1"/>
  <c r="U45" i="1"/>
  <c r="H9" i="1"/>
  <c r="S38" i="1"/>
  <c r="U47" i="1"/>
  <c r="J13" i="1"/>
  <c r="L13" i="1"/>
  <c r="E48" i="1"/>
  <c r="N48" i="1" s="1"/>
  <c r="E46" i="1"/>
  <c r="O46" i="1" s="1"/>
  <c r="I10" i="1"/>
  <c r="I9" i="1"/>
  <c r="E42" i="1"/>
  <c r="N42" i="1" s="1"/>
  <c r="H13" i="1"/>
  <c r="F11" i="1"/>
  <c r="H12" i="1"/>
  <c r="N41" i="1"/>
  <c r="Q41" i="1" s="1"/>
  <c r="K48" i="1"/>
  <c r="T48" i="1" s="1"/>
  <c r="U48" i="1" s="1"/>
  <c r="I13" i="1"/>
  <c r="I12" i="1"/>
  <c r="Q37" i="1"/>
  <c r="J9" i="1"/>
  <c r="K46" i="1"/>
  <c r="T46" i="1" s="1"/>
  <c r="U46" i="1" s="1"/>
  <c r="L48" i="1"/>
  <c r="L46" i="1"/>
  <c r="M43" i="1"/>
  <c r="P43" i="1" s="1"/>
  <c r="O37" i="1"/>
  <c r="R37" i="1" s="1"/>
  <c r="E44" i="1"/>
  <c r="N44" i="1" s="1"/>
  <c r="N45" i="1"/>
  <c r="Q45" i="1" s="1"/>
  <c r="K42" i="1"/>
  <c r="T42" i="1" s="1"/>
  <c r="U42" i="1" s="1"/>
  <c r="M41" i="1"/>
  <c r="P41" i="1" s="1"/>
  <c r="O47" i="1"/>
  <c r="R47" i="1" s="1"/>
  <c r="O43" i="1"/>
  <c r="R43" i="1" s="1"/>
  <c r="O39" i="1"/>
  <c r="R39" i="1" s="1"/>
  <c r="P45" i="1"/>
  <c r="K44" i="1"/>
  <c r="T44" i="1" s="1"/>
  <c r="U44" i="1" s="1"/>
  <c r="N47" i="1"/>
  <c r="Q47" i="1" s="1"/>
  <c r="N43" i="1"/>
  <c r="Q43" i="1" s="1"/>
  <c r="N39" i="1"/>
  <c r="Q39" i="1" s="1"/>
  <c r="L44" i="1"/>
  <c r="M47" i="1"/>
  <c r="P47" i="1" s="1"/>
  <c r="M39" i="1"/>
  <c r="P39" i="1" s="1"/>
  <c r="L42" i="1"/>
  <c r="O45" i="1"/>
  <c r="R45" i="1" s="1"/>
  <c r="R41" i="1"/>
  <c r="K40" i="1"/>
  <c r="T40" i="1" s="1"/>
  <c r="U40" i="1" s="1"/>
  <c r="T37" i="1"/>
  <c r="U37" i="1" s="1"/>
  <c r="U53" i="1" s="1"/>
  <c r="O50" i="1" l="1"/>
  <c r="R50" i="1" s="1"/>
  <c r="N50" i="1"/>
  <c r="Q50" i="1" s="1"/>
  <c r="M50" i="1"/>
  <c r="P50" i="1" s="1"/>
  <c r="L11" i="1"/>
  <c r="I11" i="1"/>
  <c r="U38" i="1"/>
  <c r="U54" i="1" s="1"/>
  <c r="O38" i="1"/>
  <c r="R38" i="1" s="1"/>
  <c r="R54" i="1" s="1"/>
  <c r="N38" i="1"/>
  <c r="Q38" i="1" s="1"/>
  <c r="J16" i="1"/>
  <c r="L17" i="1"/>
  <c r="H16" i="1"/>
  <c r="M46" i="1"/>
  <c r="P46" i="1" s="1"/>
  <c r="N46" i="1"/>
  <c r="Q46" i="1" s="1"/>
  <c r="R46" i="1"/>
  <c r="O48" i="1"/>
  <c r="R48" i="1" s="1"/>
  <c r="M48" i="1"/>
  <c r="P48" i="1" s="1"/>
  <c r="M44" i="1"/>
  <c r="P44" i="1" s="1"/>
  <c r="O44" i="1"/>
  <c r="R44" i="1" s="1"/>
  <c r="M42" i="1"/>
  <c r="P42" i="1" s="1"/>
  <c r="O42" i="1"/>
  <c r="R42" i="1" s="1"/>
  <c r="I16" i="1"/>
  <c r="Q48" i="1"/>
  <c r="H11" i="1"/>
  <c r="H17" i="1" s="1"/>
  <c r="H22" i="1" s="1"/>
  <c r="J11" i="1"/>
  <c r="J17" i="1" s="1"/>
  <c r="H24" i="1" s="1"/>
  <c r="I17" i="1"/>
  <c r="H23" i="1" s="1"/>
  <c r="Q42" i="1"/>
  <c r="Q44" i="1"/>
  <c r="N40" i="1"/>
  <c r="Q40" i="1" s="1"/>
  <c r="O40" i="1"/>
  <c r="R40" i="1" s="1"/>
  <c r="M40" i="1"/>
  <c r="P40" i="1" s="1"/>
</calcChain>
</file>

<file path=xl/sharedStrings.xml><?xml version="1.0" encoding="utf-8"?>
<sst xmlns="http://schemas.openxmlformats.org/spreadsheetml/2006/main" count="346" uniqueCount="129">
  <si>
    <t>lb/MWh</t>
  </si>
  <si>
    <t>tons/kBtu</t>
  </si>
  <si>
    <t>Carbon factors</t>
  </si>
  <si>
    <t>natural gas</t>
  </si>
  <si>
    <t>-</t>
  </si>
  <si>
    <t>$/kWh</t>
  </si>
  <si>
    <t>DTE renewable portfolio standard</t>
  </si>
  <si>
    <t>2024 grid</t>
  </si>
  <si>
    <t>$/therm</t>
  </si>
  <si>
    <t>2030 - 50% renewable mandate</t>
  </si>
  <si>
    <t>2030 grid</t>
  </si>
  <si>
    <t>2040 - 100% renewable mandate</t>
  </si>
  <si>
    <t>100% Renewable energy (2040)</t>
  </si>
  <si>
    <t>DHW HP COP</t>
  </si>
  <si>
    <t>Geo HP COP</t>
  </si>
  <si>
    <t>Appliance - per appliance consumption</t>
  </si>
  <si>
    <t>EUI</t>
  </si>
  <si>
    <t>Annual use (if gas - therm)</t>
  </si>
  <si>
    <t>Annual use (if elec - kWh)</t>
  </si>
  <si>
    <t>Carbon (nat. gas)</t>
  </si>
  <si>
    <r>
      <t xml:space="preserve">Carbon
</t>
    </r>
    <r>
      <rPr>
        <sz val="9"/>
        <color theme="1"/>
        <rFont val="Aptos Narrow"/>
        <family val="2"/>
        <scheme val="minor"/>
      </rPr>
      <t xml:space="preserve"> (elec 2024 grid)</t>
    </r>
  </si>
  <si>
    <r>
      <t>Carbon</t>
    </r>
    <r>
      <rPr>
        <sz val="9"/>
        <color theme="1"/>
        <rFont val="Aptos Narrow"/>
        <family val="2"/>
        <scheme val="minor"/>
      </rPr>
      <t xml:space="preserve"> 
(elec. 2030 grid)</t>
    </r>
  </si>
  <si>
    <r>
      <t xml:space="preserve">Carbon
 </t>
    </r>
    <r>
      <rPr>
        <sz val="9"/>
        <color theme="1"/>
        <rFont val="Aptos Narrow"/>
        <family val="2"/>
        <scheme val="minor"/>
      </rPr>
      <t>(elec. Renewable - 2040)</t>
    </r>
  </si>
  <si>
    <t>Utility cost (gas)</t>
  </si>
  <si>
    <t>Utility cost (elec)</t>
  </si>
  <si>
    <t>kBtu gas</t>
  </si>
  <si>
    <t>kBtu elec</t>
  </si>
  <si>
    <t>Stove/range</t>
  </si>
  <si>
    <t>Standard Dryer</t>
  </si>
  <si>
    <t>Heat Pump Dryer</t>
  </si>
  <si>
    <t>Standard DHW</t>
  </si>
  <si>
    <t>Heat Pump DHW</t>
  </si>
  <si>
    <t>Carbon savings (tons) for neighborhood</t>
  </si>
  <si>
    <t>Current (gas)</t>
  </si>
  <si>
    <t>homes</t>
  </si>
  <si>
    <t>All electric</t>
  </si>
  <si>
    <t>All heat pump</t>
  </si>
  <si>
    <t>Pathway - stay at 275 always or go to 252 today, 110 by 2030 and 0 by 2040 with DTE renewable goal</t>
  </si>
  <si>
    <t>All Elec HP (2024 grid)</t>
  </si>
  <si>
    <t>All Elec HP (2030 grid)</t>
  </si>
  <si>
    <t>All Elec HP (2040 grid)</t>
  </si>
  <si>
    <t>Carbon (tons) and cost for heating/cooling only - leave DHW as gas.  So we don't double count with savings above.</t>
  </si>
  <si>
    <t>Building</t>
  </si>
  <si>
    <t>sf footage</t>
  </si>
  <si>
    <t>Total Elec EUI</t>
  </si>
  <si>
    <t>Cooling EUI</t>
  </si>
  <si>
    <t>Heating EUI (elec)</t>
  </si>
  <si>
    <t>Total Gas EUI</t>
  </si>
  <si>
    <t>Heating EUI (gas)</t>
  </si>
  <si>
    <t>Annual heating use (gas - therms)</t>
  </si>
  <si>
    <t>Annual heating + cooling use (elec - kWh)</t>
  </si>
  <si>
    <r>
      <t xml:space="preserve">Carbon
 </t>
    </r>
    <r>
      <rPr>
        <sz val="9"/>
        <color theme="1"/>
        <rFont val="Aptos Narrow"/>
        <family val="2"/>
        <scheme val="minor"/>
      </rPr>
      <t>(elec. Renewable)</t>
    </r>
  </si>
  <si>
    <r>
      <t xml:space="preserve">Total Carbon
</t>
    </r>
    <r>
      <rPr>
        <sz val="9"/>
        <color theme="1"/>
        <rFont val="Aptos Narrow"/>
        <family val="2"/>
        <scheme val="minor"/>
      </rPr>
      <t xml:space="preserve"> (gas+elec 2024 grid)</t>
    </r>
  </si>
  <si>
    <r>
      <t>Total Carbon</t>
    </r>
    <r>
      <rPr>
        <sz val="9"/>
        <color theme="1"/>
        <rFont val="Aptos Narrow"/>
        <family val="2"/>
        <scheme val="minor"/>
      </rPr>
      <t xml:space="preserve"> 
(gas+elec. 2030 grid)</t>
    </r>
  </si>
  <si>
    <r>
      <t xml:space="preserve">Total Carbon
 </t>
    </r>
    <r>
      <rPr>
        <sz val="9"/>
        <color theme="1"/>
        <rFont val="Aptos Narrow"/>
        <family val="2"/>
        <scheme val="minor"/>
      </rPr>
      <t>(gas+elec. Renewable 2040 grid)</t>
    </r>
  </si>
  <si>
    <t>Heating utility cost (gas)</t>
  </si>
  <si>
    <t>Htg+Clg utility cost (elec)</t>
  </si>
  <si>
    <t>Total heating+cooling utility cost</t>
  </si>
  <si>
    <t>Typical home (current)</t>
  </si>
  <si>
    <t>Typical home (geo)</t>
  </si>
  <si>
    <t>Bryant Elementary (current)</t>
  </si>
  <si>
    <t>Bryant Elementary (geo)</t>
  </si>
  <si>
    <t>County Health (current)</t>
  </si>
  <si>
    <t>County Health (geo)</t>
  </si>
  <si>
    <t>PW Main (current)</t>
  </si>
  <si>
    <t>PW Main (geo)</t>
  </si>
  <si>
    <t>PW South Fleet/Maint (current)</t>
  </si>
  <si>
    <t>PW South Fleet/Maint (geo)</t>
  </si>
  <si>
    <t>Public works east fleet (current)</t>
  </si>
  <si>
    <t>Public works east fleet (geo)</t>
  </si>
  <si>
    <t>Bryant CC</t>
  </si>
  <si>
    <t>Total carbon: 262 homes + commercial</t>
  </si>
  <si>
    <t>Current</t>
  </si>
  <si>
    <t>total carbon</t>
  </si>
  <si>
    <t>heating/cooling only</t>
  </si>
  <si>
    <t>with geo</t>
  </si>
  <si>
    <t>*leftover geo carbon is DHW - those savings for homes are in the other table. DHW for commercial feasibility and cost is TBD</t>
  </si>
  <si>
    <t>Very high level estimate for grant submittal purposes.  These numbers will be re-visited in a couple months for DOE project submittal purposes.</t>
  </si>
  <si>
    <t xml:space="preserve">*all buildings will be served condenser water from a centralized geothermal field with pumping stations - separate budget.  Assume ductwork stays in place.  Assume electric service is adequate for the compressor.  Scope is to replace the main AHU/terminal system with the listed heat pump option. </t>
  </si>
  <si>
    <t>Current HVAC system</t>
  </si>
  <si>
    <t>Geothermal system option</t>
  </si>
  <si>
    <t>ROM budget (total or per sf)</t>
  </si>
  <si>
    <t>ROM budget - Total per building</t>
  </si>
  <si>
    <t>Typical home</t>
  </si>
  <si>
    <t>Furnace and DX split</t>
  </si>
  <si>
    <t>Geothermal water to air heat pump</t>
  </si>
  <si>
    <t>20000 per home</t>
  </si>
  <si>
    <t>262 homes</t>
  </si>
  <si>
    <t>Bryant Elementary</t>
  </si>
  <si>
    <t>(14) Package RTU  DX/gas fired: 12-20 tons each (HW boiler reheat?)</t>
  </si>
  <si>
    <t>(14) Heat Pump RTUs : 15-20 tons each, (2) 35 ton WTW heat pump</t>
  </si>
  <si>
    <t>$50 - $55 per sq ft</t>
  </si>
  <si>
    <t>County Health</t>
  </si>
  <si>
    <t>Packaged AHU: DX/gas fired: (2) 5 ton RTU, (2) 20 ton at grade, (4) 5-10 ton at grade</t>
  </si>
  <si>
    <t>(8) Heat pump RTU.  Electric reheat - 10 zones VAV boxes</t>
  </si>
  <si>
    <t>$48 per sq ft</t>
  </si>
  <si>
    <t>PW Main</t>
  </si>
  <si>
    <t>(7) 20 ton Packaged AHU: DX/gas fired, (1) gas fired MAU, (5) DOAS units with ERW, (2) 500 Mbh boilers for terminal heat</t>
  </si>
  <si>
    <t>(7) 20 ton Heat Pump RTU, (1) heat pump MAU, (5) 5-ton heat pump DOAS with ERW, (2) 35 ton WTW Heat pump</t>
  </si>
  <si>
    <t xml:space="preserve">PW South Fleet/Maint </t>
  </si>
  <si>
    <t>(4) 500 Mbh Direct fired MAU - heating only</t>
  </si>
  <si>
    <t>(4) 40 ton Heat Pump RTU</t>
  </si>
  <si>
    <t>$38 - $40 per sq ft</t>
  </si>
  <si>
    <t xml:space="preserve">Public works east fleet </t>
  </si>
  <si>
    <t>(6) 500 Mbh Direct fired MAU - heating only, (3) 7.5 ton Packaged RTU, DX, gas fired heating</t>
  </si>
  <si>
    <t>(6) 40 ton Heat Pump RTU, (3) 7.5 ton Heat Pump RTU</t>
  </si>
  <si>
    <t>General allowance if new electrical service is required to the building ($/sf)</t>
  </si>
  <si>
    <t>$10 - $12 per sq ft (does not include utility fees)</t>
  </si>
  <si>
    <t>$300k-$500k per building if needed</t>
  </si>
  <si>
    <t>Btu</t>
  </si>
  <si>
    <t>tons</t>
  </si>
  <si>
    <t># units</t>
  </si>
  <si>
    <t>County Mental Health</t>
  </si>
  <si>
    <t>Geo Pumping Homes</t>
  </si>
  <si>
    <t>262 homes (current)</t>
  </si>
  <si>
    <t>262 homes (geo)</t>
  </si>
  <si>
    <t>262 homes (geo+wx)</t>
  </si>
  <si>
    <t>262 homes (geo + wx + pv)</t>
  </si>
  <si>
    <t>With Geothermal</t>
  </si>
  <si>
    <t>BAU - Gas Heat</t>
  </si>
  <si>
    <t>With Geothermal + Wx</t>
  </si>
  <si>
    <t>With Geothermal + Wx + PV</t>
  </si>
  <si>
    <t>Homes</t>
  </si>
  <si>
    <t>North Loop</t>
  </si>
  <si>
    <t>Whole Neighborhood</t>
  </si>
  <si>
    <t>geo</t>
  </si>
  <si>
    <t>geo+2030</t>
  </si>
  <si>
    <t>current</t>
  </si>
  <si>
    <t>Bryant CC (geo)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</si>
</sst>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"/>
    <numFmt numFmtId="165" formatCode="0.000000"/>
    <numFmt numFmtId="166" formatCode="_(&quot;$&quot;* #,##0_);_(&quot;$&quot;* \(#,##0\);_(&quot;$&quot;* &quot;-&quot;??_);_(@_)"/>
  </numFmts>
  <fonts count="6" x14ac:knownFonts="1">
    <font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/>
    <xf numFmtId="2" fontId="0" fillId="0" borderId="1" xfId="0" applyNumberFormat="1" applyBorder="1"/>
    <xf numFmtId="164" fontId="0" fillId="0" borderId="1" xfId="0" applyNumberFormat="1" applyBorder="1"/>
    <xf numFmtId="1" fontId="0" fillId="0" borderId="1" xfId="0" applyNumberFormat="1" applyBorder="1"/>
    <xf numFmtId="164" fontId="0" fillId="0" borderId="0" xfId="0" applyNumberFormat="1"/>
    <xf numFmtId="165" fontId="0" fillId="0" borderId="0" xfId="0" applyNumberFormat="1"/>
    <xf numFmtId="0" fontId="0" fillId="0" borderId="0" xfId="0" quotePrefix="1" applyAlignment="1">
      <alignment horizontal="center" vertical="center"/>
    </xf>
    <xf numFmtId="0" fontId="0" fillId="3" borderId="0" xfId="0" applyFill="1"/>
    <xf numFmtId="0" fontId="0" fillId="4" borderId="1" xfId="0" applyFill="1" applyBorder="1"/>
    <xf numFmtId="0" fontId="0" fillId="0" borderId="1" xfId="0" quotePrefix="1" applyBorder="1" applyAlignment="1">
      <alignment horizontal="center"/>
    </xf>
    <xf numFmtId="164" fontId="0" fillId="4" borderId="1" xfId="0" applyNumberFormat="1" applyFill="1" applyBorder="1"/>
    <xf numFmtId="1" fontId="0" fillId="4" borderId="1" xfId="0" applyNumberFormat="1" applyFill="1" applyBorder="1"/>
    <xf numFmtId="0" fontId="0" fillId="3" borderId="1" xfId="0" applyFill="1" applyBorder="1"/>
    <xf numFmtId="0" fontId="0" fillId="0" borderId="2" xfId="0" applyBorder="1"/>
    <xf numFmtId="164" fontId="0" fillId="0" borderId="2" xfId="0" applyNumberFormat="1" applyBorder="1"/>
    <xf numFmtId="0" fontId="0" fillId="0" borderId="3" xfId="0" applyBorder="1"/>
    <xf numFmtId="164" fontId="0" fillId="0" borderId="3" xfId="0" applyNumberFormat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3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1" xfId="0" applyFont="1" applyBorder="1"/>
    <xf numFmtId="1" fontId="4" fillId="0" borderId="1" xfId="0" applyNumberFormat="1" applyFont="1" applyBorder="1"/>
    <xf numFmtId="0" fontId="4" fillId="0" borderId="1" xfId="0" quotePrefix="1" applyFont="1" applyBorder="1" applyAlignment="1">
      <alignment horizontal="center"/>
    </xf>
    <xf numFmtId="0" fontId="4" fillId="0" borderId="7" xfId="0" applyFont="1" applyBorder="1"/>
    <xf numFmtId="0" fontId="4" fillId="0" borderId="0" xfId="0" applyFont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164" fontId="4" fillId="0" borderId="1" xfId="0" applyNumberFormat="1" applyFont="1" applyBorder="1"/>
    <xf numFmtId="166" fontId="0" fillId="0" borderId="1" xfId="1" applyNumberFormat="1" applyFont="1" applyBorder="1"/>
    <xf numFmtId="166" fontId="3" fillId="0" borderId="1" xfId="0" applyNumberFormat="1" applyFont="1" applyBorder="1"/>
    <xf numFmtId="44" fontId="0" fillId="3" borderId="0" xfId="1" applyFont="1" applyFill="1"/>
    <xf numFmtId="0" fontId="0" fillId="2" borderId="0" xfId="0" applyFill="1"/>
    <xf numFmtId="166" fontId="0" fillId="0" borderId="1" xfId="0" applyNumberFormat="1" applyBorder="1"/>
    <xf numFmtId="166" fontId="0" fillId="4" borderId="1" xfId="1" applyNumberFormat="1" applyFont="1" applyFill="1" applyBorder="1"/>
    <xf numFmtId="166" fontId="0" fillId="4" borderId="1" xfId="0" applyNumberFormat="1" applyFill="1" applyBorder="1"/>
    <xf numFmtId="0" fontId="0" fillId="4" borderId="2" xfId="0" applyFill="1" applyBorder="1"/>
    <xf numFmtId="1" fontId="4" fillId="5" borderId="1" xfId="0" applyNumberFormat="1" applyFont="1" applyFill="1" applyBorder="1"/>
    <xf numFmtId="0" fontId="0" fillId="5" borderId="0" xfId="0" applyFill="1"/>
    <xf numFmtId="0" fontId="5" fillId="0" borderId="0" xfId="0" applyFont="1"/>
    <xf numFmtId="1" fontId="0" fillId="0" borderId="0" xfId="0" applyNumberFormat="1"/>
    <xf numFmtId="0" fontId="0" fillId="2" borderId="15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166" fontId="0" fillId="0" borderId="3" xfId="0" applyNumberFormat="1" applyBorder="1"/>
    <xf numFmtId="6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0" xfId="0" applyFont="1"/>
    <xf numFmtId="166" fontId="4" fillId="0" borderId="1" xfId="1" applyNumberFormat="1" applyFont="1" applyBorder="1"/>
    <xf numFmtId="0" fontId="3" fillId="3" borderId="1" xfId="0" applyFont="1" applyFill="1" applyBorder="1"/>
    <xf numFmtId="0" fontId="3" fillId="4" borderId="1" xfId="0" applyFont="1" applyFill="1" applyBorder="1"/>
    <xf numFmtId="164" fontId="3" fillId="4" borderId="1" xfId="0" applyNumberFormat="1" applyFont="1" applyFill="1" applyBorder="1"/>
    <xf numFmtId="0" fontId="0" fillId="4" borderId="0" xfId="0" applyFill="1"/>
    <xf numFmtId="9" fontId="0" fillId="0" borderId="0" xfId="2" applyFont="1"/>
    <xf numFmtId="166" fontId="4" fillId="0" borderId="0" xfId="1" applyNumberFormat="1" applyFont="1" applyBorder="1"/>
    <xf numFmtId="164" fontId="3" fillId="0" borderId="1" xfId="0" applyNumberFormat="1" applyFont="1" applyBorder="1"/>
    <xf numFmtId="0" fontId="3" fillId="6" borderId="1" xfId="0" applyFont="1" applyFill="1" applyBorder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Carbon!$G$21:$G$24</c:f>
              <c:strCache>
                <c:ptCount val="4"/>
                <c:pt idx="0">
                  <c:v>Current (gas)</c:v>
                </c:pt>
                <c:pt idx="1">
                  <c:v>All Elec HP (2024 grid)</c:v>
                </c:pt>
                <c:pt idx="2">
                  <c:v>All Elec HP (2030 grid)</c:v>
                </c:pt>
                <c:pt idx="3">
                  <c:v>All Elec HP (2040 grid)</c:v>
                </c:pt>
              </c:strCache>
            </c:strRef>
          </c:cat>
          <c:val>
            <c:numRef>
              <c:f>Carbon!$H$21:$H$24</c:f>
              <c:numCache>
                <c:formatCode>0</c:formatCode>
                <c:ptCount val="4"/>
                <c:pt idx="0">
                  <c:v>274.80394000000001</c:v>
                </c:pt>
                <c:pt idx="1">
                  <c:v>252.06876638996135</c:v>
                </c:pt>
                <c:pt idx="2">
                  <c:v>110.45958211654749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D-4FAF-8F7C-4325FA5E7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656304"/>
        <c:axId val="1276661584"/>
      </c:lineChart>
      <c:catAx>
        <c:axId val="127665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61584"/>
        <c:crosses val="autoZero"/>
        <c:auto val="1"/>
        <c:lblAlgn val="ctr"/>
        <c:lblOffset val="100"/>
        <c:noMultiLvlLbl val="0"/>
      </c:catAx>
      <c:valAx>
        <c:axId val="127666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5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Carbon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BAU - gas heating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Carbon!$P$36:$R$36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Carbon!$P$53:$R$53</c:f>
              <c:numCache>
                <c:formatCode>0.0</c:formatCode>
                <c:ptCount val="3"/>
                <c:pt idx="0">
                  <c:v>3699.2228984675808</c:v>
                </c:pt>
                <c:pt idx="1">
                  <c:v>2651.2806505116482</c:v>
                </c:pt>
                <c:pt idx="2">
                  <c:v>1833.8530000000001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C-4375-A66B-4CFC0411B1E1}"/>
            </c:ext>
          </c:extLst>
        </c:ser>
        <c:ser>
          <c:idx val="1"/>
          <c:order val="1"/>
          <c:tx>
            <c:v>With Geothermal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Carbon!$P$36:$R$36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Carbon!$P$54:$R$54</c:f>
              <c:numCache>
                <c:formatCode>0.0</c:formatCode>
                <c:ptCount val="3"/>
                <c:pt idx="0">
                  <c:v>2777.3834200136575</c:v>
                </c:pt>
                <c:pt idx="1">
                  <c:v>1439.9024149928384</c:v>
                </c:pt>
                <c:pt idx="2">
                  <c:v>396.62550000000005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C-4375-A66B-4CFC0411B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896207"/>
        <c:axId val="579437839"/>
      </c:lineChart>
      <c:catAx>
        <c:axId val="93489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437839"/>
        <c:crosses val="autoZero"/>
        <c:auto val="1"/>
        <c:lblAlgn val="ctr"/>
        <c:lblOffset val="100"/>
        <c:noMultiLvlLbl val="0"/>
      </c:catAx>
      <c:valAx>
        <c:axId val="57943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896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'Carbon - Q3'!$G$21:$G$24</c:f>
              <c:strCache>
                <c:ptCount val="4"/>
                <c:pt idx="0">
                  <c:v>Current (gas)</c:v>
                </c:pt>
                <c:pt idx="1">
                  <c:v>All Elec HP (2024 grid)</c:v>
                </c:pt>
                <c:pt idx="2">
                  <c:v>All Elec HP (2030 grid)</c:v>
                </c:pt>
                <c:pt idx="3">
                  <c:v>All Elec HP (2040 grid)</c:v>
                </c:pt>
              </c:strCache>
            </c:strRef>
          </c:cat>
          <c:val>
            <c:numRef>
              <c:f>'Carbon - Q3'!$H$21:$H$24</c:f>
              <c:numCache>
                <c:formatCode>0</c:formatCode>
                <c:ptCount val="4"/>
                <c:pt idx="0">
                  <c:v>30608.215500000002</c:v>
                </c:pt>
                <c:pt idx="1">
                  <c:v>36766.27080740461</c:v>
                </c:pt>
                <c:pt idx="2">
                  <c:v>12783.821560293678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4-4208-B3F3-BCCE2C95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656304"/>
        <c:axId val="1276661584"/>
      </c:lineChart>
      <c:catAx>
        <c:axId val="127665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61584"/>
        <c:crosses val="autoZero"/>
        <c:auto val="1"/>
        <c:lblAlgn val="ctr"/>
        <c:lblOffset val="100"/>
        <c:noMultiLvlLbl val="0"/>
      </c:catAx>
      <c:valAx>
        <c:axId val="127666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5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Carbon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BAU - gas heating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'Carbon - Q3'!$P$36:$R$36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Q3'!$P$53:$R$53</c:f>
              <c:numCache>
                <c:formatCode>0.0</c:formatCode>
                <c:ptCount val="3"/>
                <c:pt idx="0">
                  <c:v>4068.2332823695137</c:v>
                </c:pt>
                <c:pt idx="1">
                  <c:v>2355.4426852122092</c:v>
                </c:pt>
                <c:pt idx="2">
                  <c:v>1442.4413007999999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8-4A63-B4B4-B823635F3078}"/>
            </c:ext>
          </c:extLst>
        </c:ser>
        <c:ser>
          <c:idx val="1"/>
          <c:order val="1"/>
          <c:tx>
            <c:v>With Geothermal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'Carbon - Q3'!$P$36:$R$36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Q3'!$P$54:$R$54</c:f>
              <c:numCache>
                <c:formatCode>0.0</c:formatCode>
                <c:ptCount val="3"/>
                <c:pt idx="0">
                  <c:v>3637.2487725750279</c:v>
                </c:pt>
                <c:pt idx="1">
                  <c:v>1370.9917157131531</c:v>
                </c:pt>
                <c:pt idx="2">
                  <c:v>162.96556599999994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8-4A63-B4B4-B823635F3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896207"/>
        <c:axId val="579437839"/>
      </c:lineChart>
      <c:catAx>
        <c:axId val="93489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437839"/>
        <c:crosses val="autoZero"/>
        <c:auto val="1"/>
        <c:lblAlgn val="ctr"/>
        <c:lblOffset val="100"/>
        <c:noMultiLvlLbl val="0"/>
      </c:catAx>
      <c:valAx>
        <c:axId val="57943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896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'Carbon - Final'!$G$21:$G$24</c:f>
              <c:strCache>
                <c:ptCount val="4"/>
                <c:pt idx="0">
                  <c:v>Current (gas)</c:v>
                </c:pt>
                <c:pt idx="1">
                  <c:v>All Elec HP (2024 grid)</c:v>
                </c:pt>
                <c:pt idx="2">
                  <c:v>All Elec HP (2030 grid)</c:v>
                </c:pt>
                <c:pt idx="3">
                  <c:v>All Elec HP (2040 grid)</c:v>
                </c:pt>
              </c:strCache>
            </c:strRef>
          </c:cat>
          <c:val>
            <c:numRef>
              <c:f>'Carbon - Final'!$H$21:$H$24</c:f>
              <c:numCache>
                <c:formatCode>0</c:formatCode>
                <c:ptCount val="4"/>
                <c:pt idx="0">
                  <c:v>30608.215500000002</c:v>
                </c:pt>
                <c:pt idx="1">
                  <c:v>36766.27080740461</c:v>
                </c:pt>
                <c:pt idx="2">
                  <c:v>12783.821560293678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7-4216-94AF-DB638867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656304"/>
        <c:axId val="1276661584"/>
      </c:lineChart>
      <c:catAx>
        <c:axId val="127665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61584"/>
        <c:crosses val="autoZero"/>
        <c:auto val="1"/>
        <c:lblAlgn val="ctr"/>
        <c:lblOffset val="100"/>
        <c:noMultiLvlLbl val="0"/>
      </c:catAx>
      <c:valAx>
        <c:axId val="127666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65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Greenhouse</a:t>
            </a:r>
            <a:r>
              <a:rPr lang="en-US" baseline="0"/>
              <a:t> Gas Emissions Projections - Whole Neighborhood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'Carbon - Final'!$O$56</c:f>
              <c:strCache>
                <c:ptCount val="1"/>
                <c:pt idx="0">
                  <c:v>BAU - Gas Heat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'Carbon - Final'!$P$36:$R$36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Final'!$P$56:$R$56</c:f>
              <c:numCache>
                <c:formatCode>0.0</c:formatCode>
                <c:ptCount val="3"/>
                <c:pt idx="0">
                  <c:v>4068.2332823695137</c:v>
                </c:pt>
                <c:pt idx="1">
                  <c:v>2355.4426852122092</c:v>
                </c:pt>
                <c:pt idx="2">
                  <c:v>1442.4413007999999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3-4293-9DED-FF5E43B7CB44}"/>
            </c:ext>
          </c:extLst>
        </c:ser>
        <c:ser>
          <c:idx val="1"/>
          <c:order val="1"/>
          <c:tx>
            <c:strRef>
              <c:f>'Carbon - Final'!$O$57</c:f>
              <c:strCache>
                <c:ptCount val="1"/>
                <c:pt idx="0">
                  <c:v>With Geothermal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'Carbon - Final'!$P$36:$R$36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Final'!$P$57:$R$57</c:f>
              <c:numCache>
                <c:formatCode>0.0</c:formatCode>
                <c:ptCount val="3"/>
                <c:pt idx="0">
                  <c:v>3794.3644287359284</c:v>
                </c:pt>
                <c:pt idx="1">
                  <c:v>1425.6216378831459</c:v>
                </c:pt>
                <c:pt idx="2">
                  <c:v>162.96556599999994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3-4293-9DED-FF5E43B7CB44}"/>
            </c:ext>
          </c:extLst>
        </c:ser>
        <c:ser>
          <c:idx val="2"/>
          <c:order val="2"/>
          <c:tx>
            <c:strRef>
              <c:f>'Carbon - Final'!$O$60</c:f>
              <c:strCache>
                <c:ptCount val="1"/>
                <c:pt idx="0">
                  <c:v>With Geothermal + Wx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'Carbon - Final'!$P$36:$R$36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Final'!$P$60:$R$60</c:f>
              <c:numCache>
                <c:formatCode>0.0</c:formatCode>
                <c:ptCount val="3"/>
                <c:pt idx="0">
                  <c:v>3651.8157573199223</c:v>
                </c:pt>
                <c:pt idx="1">
                  <c:v>1376.0567312711828</c:v>
                </c:pt>
                <c:pt idx="2">
                  <c:v>162.96556599999994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3-47DD-8405-401FA05463FB}"/>
            </c:ext>
          </c:extLst>
        </c:ser>
        <c:ser>
          <c:idx val="3"/>
          <c:order val="3"/>
          <c:tx>
            <c:strRef>
              <c:f>'Carbon - Final'!$O$61</c:f>
              <c:strCache>
                <c:ptCount val="1"/>
                <c:pt idx="0">
                  <c:v>With Geothermal + Wx + PV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'Carbon - Final'!$P$36:$R$36</c:f>
              <c:strCache>
                <c:ptCount val="3"/>
                <c:pt idx="0">
                  <c:v>Total Carbon
 (gas+elec 2024 grid)</c:v>
                </c:pt>
                <c:pt idx="1">
                  <c:v>Total Carbon 
(gas+elec. 2030 grid)</c:v>
                </c:pt>
                <c:pt idx="2">
                  <c:v>Total Carbon
 (gas+elec. Renewable 2040 grid)</c:v>
                </c:pt>
              </c:strCache>
            </c:strRef>
          </c:cat>
          <c:val>
            <c:numRef>
              <c:f>'Carbon - Final'!$P$61:$R$61</c:f>
              <c:numCache>
                <c:formatCode>0.0</c:formatCode>
                <c:ptCount val="3"/>
                <c:pt idx="0">
                  <c:v>2550.8369010304123</c:v>
                </c:pt>
                <c:pt idx="1">
                  <c:v>993.24071726231296</c:v>
                </c:pt>
                <c:pt idx="2">
                  <c:v>162.96556599999994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3-47DD-8405-401FA0546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4896207"/>
        <c:axId val="579437839"/>
      </c:lineChart>
      <c:catAx>
        <c:axId val="93489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437839"/>
        <c:crosses val="autoZero"/>
        <c:auto val="1"/>
        <c:lblAlgn val="ctr"/>
        <c:lblOffset val="100"/>
        <c:noMultiLvlLbl val="0"/>
      </c:catAx>
      <c:valAx>
        <c:axId val="57943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metric</a:t>
                </a:r>
                <a:r>
                  <a:rPr lang="en-US" baseline="0"/>
                  <a:t> tons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896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27212</xdr:colOff>
      <xdr:row>4</xdr:row>
      <xdr:rowOff>126397</xdr:rowOff>
    </xdr:from>
    <xdr:to>
      <xdr:col>24</xdr:col>
      <xdr:colOff>255671</xdr:colOff>
      <xdr:row>16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025627-B754-ECA9-04F0-F0B01F05E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65802" y="861183"/>
          <a:ext cx="4296995" cy="2409974"/>
        </a:xfrm>
        <a:prstGeom prst="rect">
          <a:avLst/>
        </a:prstGeom>
      </xdr:spPr>
    </xdr:pic>
    <xdr:clientData/>
  </xdr:twoCellAnchor>
  <xdr:twoCellAnchor editAs="oneCell">
    <xdr:from>
      <xdr:col>23</xdr:col>
      <xdr:colOff>67109</xdr:colOff>
      <xdr:row>0</xdr:row>
      <xdr:rowOff>0</xdr:rowOff>
    </xdr:from>
    <xdr:to>
      <xdr:col>34</xdr:col>
      <xdr:colOff>512103</xdr:colOff>
      <xdr:row>32</xdr:row>
      <xdr:rowOff>15559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763A2-83A5-1D91-7F6E-039182ED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93184" y="0"/>
          <a:ext cx="7569694" cy="6114281"/>
        </a:xfrm>
        <a:prstGeom prst="rect">
          <a:avLst/>
        </a:prstGeom>
      </xdr:spPr>
    </xdr:pic>
    <xdr:clientData/>
  </xdr:twoCellAnchor>
  <xdr:twoCellAnchor editAs="oneCell">
    <xdr:from>
      <xdr:col>23</xdr:col>
      <xdr:colOff>428625</xdr:colOff>
      <xdr:row>39</xdr:row>
      <xdr:rowOff>9525</xdr:rowOff>
    </xdr:from>
    <xdr:to>
      <xdr:col>36</xdr:col>
      <xdr:colOff>447916</xdr:colOff>
      <xdr:row>86</xdr:row>
      <xdr:rowOff>1089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3F7554D1-CD6E-6812-6ED2-6D3093558590}"/>
            </a:ext>
            <a:ext uri="{147F2762-F138-4A5C-976F-8EAC2B608ADB}">
              <a16:predDERef xmlns:a16="http://schemas.microsoft.com/office/drawing/2014/main" pred="{F79763A2-83A5-1D91-7F6E-039182ED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83150" y="8124825"/>
          <a:ext cx="7944091" cy="8554540"/>
        </a:xfrm>
        <a:prstGeom prst="rect">
          <a:avLst/>
        </a:prstGeom>
      </xdr:spPr>
    </xdr:pic>
    <xdr:clientData/>
  </xdr:twoCellAnchor>
  <xdr:twoCellAnchor>
    <xdr:from>
      <xdr:col>8</xdr:col>
      <xdr:colOff>343578</xdr:colOff>
      <xdr:row>19</xdr:row>
      <xdr:rowOff>118381</xdr:rowOff>
    </xdr:from>
    <xdr:to>
      <xdr:col>15</xdr:col>
      <xdr:colOff>115659</xdr:colOff>
      <xdr:row>31</xdr:row>
      <xdr:rowOff>47626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73545D-8FFE-55EC-314A-A5BB15D423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91847</xdr:colOff>
      <xdr:row>56</xdr:row>
      <xdr:rowOff>36737</xdr:rowOff>
    </xdr:from>
    <xdr:to>
      <xdr:col>17</xdr:col>
      <xdr:colOff>642937</xdr:colOff>
      <xdr:row>71</xdr:row>
      <xdr:rowOff>24492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D71146F-99C7-2477-3F15-BF175DA3A9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22</xdr:row>
      <xdr:rowOff>1</xdr:rowOff>
    </xdr:from>
    <xdr:to>
      <xdr:col>2</xdr:col>
      <xdr:colOff>1209676</xdr:colOff>
      <xdr:row>36</xdr:row>
      <xdr:rowOff>27850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3B673-7CF0-4063-812D-03300CC7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1" y="5514976"/>
          <a:ext cx="3128963" cy="256149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22</xdr:row>
      <xdr:rowOff>1</xdr:rowOff>
    </xdr:from>
    <xdr:to>
      <xdr:col>3</xdr:col>
      <xdr:colOff>2305051</xdr:colOff>
      <xdr:row>36</xdr:row>
      <xdr:rowOff>149992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0257F4-9F5D-4F6F-A724-EC07D93F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8126" y="5514976"/>
          <a:ext cx="2305050" cy="268364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17</xdr:row>
      <xdr:rowOff>147583</xdr:rowOff>
    </xdr:from>
    <xdr:to>
      <xdr:col>5</xdr:col>
      <xdr:colOff>3938</xdr:colOff>
      <xdr:row>27</xdr:row>
      <xdr:rowOff>166125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BB4576-0BD3-4EDE-9C8B-3FB2F2A4A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43726" y="4757683"/>
          <a:ext cx="2766187" cy="1828292"/>
        </a:xfrm>
        <a:prstGeom prst="rect">
          <a:avLst/>
        </a:prstGeom>
      </xdr:spPr>
    </xdr:pic>
    <xdr:clientData/>
  </xdr:twoCellAnchor>
  <xdr:twoCellAnchor editAs="oneCell">
    <xdr:from>
      <xdr:col>3</xdr:col>
      <xdr:colOff>2617590</xdr:colOff>
      <xdr:row>28</xdr:row>
      <xdr:rowOff>42862</xdr:rowOff>
    </xdr:from>
    <xdr:to>
      <xdr:col>6</xdr:col>
      <xdr:colOff>289324</xdr:colOff>
      <xdr:row>47</xdr:row>
      <xdr:rowOff>56258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A3DC7F-F09F-4FDE-A3DC-8DC964A9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5715" y="6643687"/>
          <a:ext cx="4605934" cy="3451921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55</xdr:row>
      <xdr:rowOff>55563</xdr:rowOff>
    </xdr:from>
    <xdr:to>
      <xdr:col>12</xdr:col>
      <xdr:colOff>93118</xdr:colOff>
      <xdr:row>76</xdr:row>
      <xdr:rowOff>8000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BAAB01-AAC3-4B1C-9EBD-CC4B8C1C2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53763" y="11542713"/>
          <a:ext cx="4412705" cy="3752912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2063750</xdr:colOff>
      <xdr:row>53</xdr:row>
      <xdr:rowOff>39688</xdr:rowOff>
    </xdr:from>
    <xdr:to>
      <xdr:col>4</xdr:col>
      <xdr:colOff>2371333</xdr:colOff>
      <xdr:row>82</xdr:row>
      <xdr:rowOff>135851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429E7B-FBC0-40C7-868B-FECCC1966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11875" y="11164888"/>
          <a:ext cx="3136508" cy="53444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55</xdr:row>
      <xdr:rowOff>0</xdr:rowOff>
    </xdr:from>
    <xdr:to>
      <xdr:col>20</xdr:col>
      <xdr:colOff>164673</xdr:colOff>
      <xdr:row>95</xdr:row>
      <xdr:rowOff>97500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11269F-A28C-4EF1-8BA9-3A0D99767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16450" y="11487150"/>
          <a:ext cx="3403173" cy="733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27212</xdr:colOff>
      <xdr:row>4</xdr:row>
      <xdr:rowOff>126397</xdr:rowOff>
    </xdr:from>
    <xdr:to>
      <xdr:col>24</xdr:col>
      <xdr:colOff>129555</xdr:colOff>
      <xdr:row>16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25816-9AF6-4FF4-8DF8-C2254637F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7226" y="866626"/>
          <a:ext cx="4343259" cy="2427662"/>
        </a:xfrm>
        <a:prstGeom prst="rect">
          <a:avLst/>
        </a:prstGeom>
      </xdr:spPr>
    </xdr:pic>
    <xdr:clientData/>
  </xdr:twoCellAnchor>
  <xdr:twoCellAnchor editAs="oneCell">
    <xdr:from>
      <xdr:col>23</xdr:col>
      <xdr:colOff>67109</xdr:colOff>
      <xdr:row>0</xdr:row>
      <xdr:rowOff>0</xdr:rowOff>
    </xdr:from>
    <xdr:to>
      <xdr:col>34</xdr:col>
      <xdr:colOff>512103</xdr:colOff>
      <xdr:row>32</xdr:row>
      <xdr:rowOff>15559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45FED7-8452-497D-8A04-42048946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38780" y="0"/>
          <a:ext cx="7629566" cy="6220416"/>
        </a:xfrm>
        <a:prstGeom prst="rect">
          <a:avLst/>
        </a:prstGeom>
      </xdr:spPr>
    </xdr:pic>
    <xdr:clientData/>
  </xdr:twoCellAnchor>
  <xdr:twoCellAnchor editAs="oneCell">
    <xdr:from>
      <xdr:col>23</xdr:col>
      <xdr:colOff>428625</xdr:colOff>
      <xdr:row>39</xdr:row>
      <xdr:rowOff>9525</xdr:rowOff>
    </xdr:from>
    <xdr:to>
      <xdr:col>36</xdr:col>
      <xdr:colOff>447916</xdr:colOff>
      <xdr:row>86</xdr:row>
      <xdr:rowOff>1089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631FA9-BAEE-4FC3-B5F6-107265D06A1A}"/>
            </a:ext>
            <a:ext uri="{147F2762-F138-4A5C-976F-8EAC2B608ADB}">
              <a16:predDERef xmlns:a16="http://schemas.microsoft.com/office/drawing/2014/main" pred="{F79763A2-83A5-1D91-7F6E-039182ED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00296" y="8201025"/>
          <a:ext cx="8510149" cy="8721907"/>
        </a:xfrm>
        <a:prstGeom prst="rect">
          <a:avLst/>
        </a:prstGeom>
      </xdr:spPr>
    </xdr:pic>
    <xdr:clientData/>
  </xdr:twoCellAnchor>
  <xdr:twoCellAnchor>
    <xdr:from>
      <xdr:col>8</xdr:col>
      <xdr:colOff>343578</xdr:colOff>
      <xdr:row>19</xdr:row>
      <xdr:rowOff>118381</xdr:rowOff>
    </xdr:from>
    <xdr:to>
      <xdr:col>15</xdr:col>
      <xdr:colOff>115659</xdr:colOff>
      <xdr:row>31</xdr:row>
      <xdr:rowOff>47626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A1B6A3-D39F-4D4E-A64A-9F5C91CDF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91847</xdr:colOff>
      <xdr:row>56</xdr:row>
      <xdr:rowOff>36737</xdr:rowOff>
    </xdr:from>
    <xdr:to>
      <xdr:col>17</xdr:col>
      <xdr:colOff>642937</xdr:colOff>
      <xdr:row>71</xdr:row>
      <xdr:rowOff>24492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8656E3-92F4-4F26-99E5-0513E4ECC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27212</xdr:colOff>
      <xdr:row>4</xdr:row>
      <xdr:rowOff>126397</xdr:rowOff>
    </xdr:from>
    <xdr:to>
      <xdr:col>23</xdr:col>
      <xdr:colOff>532801</xdr:colOff>
      <xdr:row>16</xdr:row>
      <xdr:rowOff>63908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C0836-263E-482D-B9C5-C649CE08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43237" y="888397"/>
          <a:ext cx="4064743" cy="2635852"/>
        </a:xfrm>
        <a:prstGeom prst="rect">
          <a:avLst/>
        </a:prstGeom>
      </xdr:spPr>
    </xdr:pic>
    <xdr:clientData/>
  </xdr:twoCellAnchor>
  <xdr:twoCellAnchor editAs="oneCell">
    <xdr:from>
      <xdr:col>24</xdr:col>
      <xdr:colOff>67109</xdr:colOff>
      <xdr:row>0</xdr:row>
      <xdr:rowOff>0</xdr:rowOff>
    </xdr:from>
    <xdr:to>
      <xdr:col>35</xdr:col>
      <xdr:colOff>518859</xdr:colOff>
      <xdr:row>32</xdr:row>
      <xdr:rowOff>26394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77BA67-DF03-4A19-86C5-3BCA6E8C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934" y="0"/>
          <a:ext cx="7150594" cy="6530659"/>
        </a:xfrm>
        <a:prstGeom prst="rect">
          <a:avLst/>
        </a:prstGeom>
      </xdr:spPr>
    </xdr:pic>
    <xdr:clientData/>
  </xdr:twoCellAnchor>
  <xdr:twoCellAnchor editAs="oneCell">
    <xdr:from>
      <xdr:col>30</xdr:col>
      <xdr:colOff>417711</xdr:colOff>
      <xdr:row>58</xdr:row>
      <xdr:rowOff>177726</xdr:rowOff>
    </xdr:from>
    <xdr:to>
      <xdr:col>38</xdr:col>
      <xdr:colOff>443789</xdr:colOff>
      <xdr:row>88</xdr:row>
      <xdr:rowOff>2448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C894F6-525B-4976-AF20-F97656EE8C1D}"/>
            </a:ext>
            <a:ext uri="{147F2762-F138-4A5C-976F-8EAC2B608ADB}">
              <a16:predDERef xmlns:a16="http://schemas.microsoft.com/office/drawing/2014/main" pred="{F79763A2-83A5-1D91-7F6E-039182EDC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22784" y="11907638"/>
          <a:ext cx="4912227" cy="5488378"/>
        </a:xfrm>
        <a:prstGeom prst="rect">
          <a:avLst/>
        </a:prstGeom>
      </xdr:spPr>
    </xdr:pic>
    <xdr:clientData/>
  </xdr:twoCellAnchor>
  <xdr:twoCellAnchor>
    <xdr:from>
      <xdr:col>8</xdr:col>
      <xdr:colOff>343578</xdr:colOff>
      <xdr:row>19</xdr:row>
      <xdr:rowOff>118381</xdr:rowOff>
    </xdr:from>
    <xdr:to>
      <xdr:col>15</xdr:col>
      <xdr:colOff>115659</xdr:colOff>
      <xdr:row>31</xdr:row>
      <xdr:rowOff>47626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134880-F6A4-4650-8DE4-E928C4B73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564704</xdr:colOff>
      <xdr:row>57</xdr:row>
      <xdr:rowOff>117920</xdr:rowOff>
    </xdr:from>
    <xdr:to>
      <xdr:col>13</xdr:col>
      <xdr:colOff>144961</xdr:colOff>
      <xdr:row>72</xdr:row>
      <xdr:rowOff>105766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B4E654-1B8A-4F1B-86B1-CF6A73B94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3ED8D-CAD2-4977-95B1-9BB1B09C120B}">
  <dimension ref="C1:V55"/>
  <sheetViews>
    <sheetView topLeftCell="C30" zoomScale="47" zoomScaleNormal="70" workbookViewId="0">
      <selection activeCell="M45" sqref="M45"/>
    </sheetView>
  </sheetViews>
  <sheetFormatPr defaultRowHeight="14.6" x14ac:dyDescent="0.4"/>
  <cols>
    <col min="3" max="3" width="23" customWidth="1"/>
    <col min="4" max="5" width="12" customWidth="1"/>
    <col min="6" max="6" width="14.53515625" customWidth="1"/>
    <col min="7" max="8" width="12" customWidth="1"/>
    <col min="9" max="9" width="13.3828125" customWidth="1"/>
    <col min="10" max="10" width="13" customWidth="1"/>
    <col min="11" max="11" width="12.53515625" customWidth="1"/>
    <col min="12" max="12" width="11" bestFit="1" customWidth="1"/>
    <col min="21" max="21" width="12" customWidth="1"/>
  </cols>
  <sheetData>
    <row r="1" spans="3:18" x14ac:dyDescent="0.4">
      <c r="G1" t="s">
        <v>0</v>
      </c>
      <c r="H1" t="s">
        <v>1</v>
      </c>
    </row>
    <row r="2" spans="3:18" x14ac:dyDescent="0.4">
      <c r="E2" t="s">
        <v>2</v>
      </c>
      <c r="F2" s="2" t="s">
        <v>3</v>
      </c>
      <c r="G2" s="10" t="s">
        <v>4</v>
      </c>
      <c r="H2">
        <v>5.3000000000000001E-5</v>
      </c>
      <c r="J2" t="s">
        <v>5</v>
      </c>
      <c r="K2" s="40">
        <v>0.1</v>
      </c>
      <c r="P2" s="48" t="s">
        <v>6</v>
      </c>
      <c r="Q2" s="48"/>
      <c r="R2" s="48"/>
    </row>
    <row r="3" spans="3:18" x14ac:dyDescent="0.4">
      <c r="F3" s="2" t="s">
        <v>7</v>
      </c>
      <c r="G3" s="11">
        <v>1141</v>
      </c>
      <c r="H3" s="9">
        <f>G3/2204/1000/3.415</f>
        <v>1.5159446553982776E-4</v>
      </c>
      <c r="J3" t="s">
        <v>8</v>
      </c>
      <c r="K3" s="40">
        <v>0.75</v>
      </c>
      <c r="P3" t="s">
        <v>9</v>
      </c>
    </row>
    <row r="4" spans="3:18" x14ac:dyDescent="0.4">
      <c r="F4" s="2" t="s">
        <v>10</v>
      </c>
      <c r="G4" s="11">
        <v>500</v>
      </c>
      <c r="H4" s="9">
        <f t="shared" ref="H4:H5" si="0">G4/2204/1000/3.415</f>
        <v>6.6430528282133112E-5</v>
      </c>
      <c r="P4" t="s">
        <v>11</v>
      </c>
    </row>
    <row r="5" spans="3:18" x14ac:dyDescent="0.4">
      <c r="F5" s="2" t="s">
        <v>12</v>
      </c>
      <c r="G5">
        <v>0</v>
      </c>
      <c r="H5" s="9">
        <f t="shared" si="0"/>
        <v>0</v>
      </c>
      <c r="J5" t="s">
        <v>13</v>
      </c>
      <c r="K5" s="11">
        <v>3</v>
      </c>
    </row>
    <row r="6" spans="3:18" x14ac:dyDescent="0.4">
      <c r="J6" t="s">
        <v>14</v>
      </c>
      <c r="K6" s="11">
        <v>4</v>
      </c>
    </row>
    <row r="8" spans="3:18" s="1" customFormat="1" ht="41.15" x14ac:dyDescent="0.4">
      <c r="C8" s="3" t="s">
        <v>15</v>
      </c>
      <c r="D8" s="3" t="s">
        <v>16</v>
      </c>
      <c r="E8" s="3" t="s">
        <v>17</v>
      </c>
      <c r="F8" s="3" t="s">
        <v>18</v>
      </c>
      <c r="G8" s="3" t="s">
        <v>19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1" t="s">
        <v>25</v>
      </c>
      <c r="N8" s="1" t="s">
        <v>26</v>
      </c>
    </row>
    <row r="9" spans="3:18" x14ac:dyDescent="0.4">
      <c r="C9" s="4" t="s">
        <v>27</v>
      </c>
      <c r="D9" s="13" t="s">
        <v>4</v>
      </c>
      <c r="E9" s="4">
        <v>45</v>
      </c>
      <c r="F9" s="4">
        <v>604</v>
      </c>
      <c r="G9" s="5">
        <f>E9*100*$H$2</f>
        <v>0.23849999999999999</v>
      </c>
      <c r="H9" s="5">
        <f>F9*3.415*$H$3</f>
        <v>0.3126878402903811</v>
      </c>
      <c r="I9" s="5">
        <f>F9*3.415*$H$4</f>
        <v>0.13702359346642468</v>
      </c>
      <c r="J9" s="5">
        <f>F9*3.415*$H$5</f>
        <v>0</v>
      </c>
      <c r="K9" s="38">
        <f>E9*$K$3</f>
        <v>33.75</v>
      </c>
      <c r="L9" s="38">
        <f>F9*$K$2</f>
        <v>60.400000000000006</v>
      </c>
      <c r="M9">
        <f>E9*100</f>
        <v>4500</v>
      </c>
      <c r="N9">
        <f>F9*3.415</f>
        <v>2062.66</v>
      </c>
    </row>
    <row r="10" spans="3:18" x14ac:dyDescent="0.4">
      <c r="C10" s="4" t="s">
        <v>28</v>
      </c>
      <c r="D10" s="13" t="s">
        <v>4</v>
      </c>
      <c r="E10" s="4">
        <f>26.5+8.8*3</f>
        <v>52.900000000000006</v>
      </c>
      <c r="F10" s="4">
        <f>418+139*3</f>
        <v>835</v>
      </c>
      <c r="G10" s="5">
        <f>E10*100*$H$2</f>
        <v>0.28037000000000006</v>
      </c>
      <c r="H10" s="5">
        <f>F10*3.415*$H$3</f>
        <v>0.43227540834845735</v>
      </c>
      <c r="I10" s="5">
        <f>F10*3.415*$H$4</f>
        <v>0.18942831215970962</v>
      </c>
      <c r="J10" s="5">
        <f>F10*3.415*$H$5</f>
        <v>0</v>
      </c>
      <c r="K10" s="38">
        <f t="shared" ref="K10:K12" si="1">E10*$K$3</f>
        <v>39.675000000000004</v>
      </c>
      <c r="L10" s="38">
        <f t="shared" ref="L10:L13" si="2">F10*$K$2</f>
        <v>83.5</v>
      </c>
      <c r="M10">
        <f>E10*100</f>
        <v>5290.0000000000009</v>
      </c>
      <c r="N10">
        <f>F10*3.415</f>
        <v>2851.5250000000001</v>
      </c>
    </row>
    <row r="11" spans="3:18" x14ac:dyDescent="0.4">
      <c r="C11" s="4" t="s">
        <v>29</v>
      </c>
      <c r="D11" s="13" t="s">
        <v>4</v>
      </c>
      <c r="E11" s="13" t="s">
        <v>4</v>
      </c>
      <c r="F11" s="7">
        <f>F10/3</f>
        <v>278.33333333333331</v>
      </c>
      <c r="G11" s="13" t="s">
        <v>4</v>
      </c>
      <c r="H11" s="5">
        <f>F11*3.415*$H$3</f>
        <v>0.14409180278281911</v>
      </c>
      <c r="I11" s="5">
        <f>F11*3.415*$H$4</f>
        <v>6.3142770719903207E-2</v>
      </c>
      <c r="J11" s="5">
        <f>F11*3.415*$H$5</f>
        <v>0</v>
      </c>
      <c r="K11" s="38" t="s">
        <v>4</v>
      </c>
      <c r="L11" s="38">
        <f t="shared" si="2"/>
        <v>27.833333333333332</v>
      </c>
    </row>
    <row r="12" spans="3:18" x14ac:dyDescent="0.4">
      <c r="C12" s="4" t="s">
        <v>30</v>
      </c>
      <c r="D12" s="16">
        <v>10</v>
      </c>
      <c r="E12" s="4">
        <f>D37*D12/100</f>
        <v>100</v>
      </c>
      <c r="F12" s="7">
        <f>D37*D12/3.415</f>
        <v>2928.2576866764275</v>
      </c>
      <c r="G12" s="5">
        <f>E12*100*$H$2</f>
        <v>0.53</v>
      </c>
      <c r="H12" s="5">
        <f t="shared" ref="H12:H13" si="3">F12*3.415*$H$3</f>
        <v>1.5159446553982776</v>
      </c>
      <c r="I12" s="5">
        <f t="shared" ref="I12:I13" si="4">F12*3.415*$H$4</f>
        <v>0.66430528282133117</v>
      </c>
      <c r="J12" s="5">
        <f t="shared" ref="J12:J13" si="5">F12*3.415*$H$5</f>
        <v>0</v>
      </c>
      <c r="K12" s="38">
        <f t="shared" si="1"/>
        <v>75</v>
      </c>
      <c r="L12" s="38">
        <f t="shared" si="2"/>
        <v>292.82576866764276</v>
      </c>
    </row>
    <row r="13" spans="3:18" x14ac:dyDescent="0.4">
      <c r="C13" s="4" t="s">
        <v>31</v>
      </c>
      <c r="D13" s="6">
        <f>D12/$K$5</f>
        <v>3.3333333333333335</v>
      </c>
      <c r="E13" s="13" t="s">
        <v>4</v>
      </c>
      <c r="F13" s="7">
        <f>D37*D13/3.415</f>
        <v>976.08589555880917</v>
      </c>
      <c r="G13" s="13" t="s">
        <v>4</v>
      </c>
      <c r="H13" s="5">
        <f t="shared" si="3"/>
        <v>0.50531488513275924</v>
      </c>
      <c r="I13" s="5">
        <f t="shared" si="4"/>
        <v>0.22143509427377706</v>
      </c>
      <c r="J13" s="5">
        <f t="shared" si="5"/>
        <v>0</v>
      </c>
      <c r="K13" s="38" t="s">
        <v>4</v>
      </c>
      <c r="L13" s="38">
        <f t="shared" si="2"/>
        <v>97.608589555880926</v>
      </c>
    </row>
    <row r="14" spans="3:18" ht="6.75" customHeight="1" x14ac:dyDescent="0.4">
      <c r="C14" s="21"/>
      <c r="D14" s="22"/>
      <c r="E14" s="22"/>
      <c r="F14" s="22"/>
      <c r="G14" s="22"/>
      <c r="H14" s="22"/>
      <c r="I14" s="22"/>
      <c r="J14" s="23"/>
      <c r="K14" s="41"/>
      <c r="L14" s="41"/>
    </row>
    <row r="15" spans="3:18" ht="15.9" x14ac:dyDescent="0.45">
      <c r="C15" s="25" t="s">
        <v>32</v>
      </c>
      <c r="D15" s="26"/>
      <c r="E15" s="27"/>
      <c r="F15" s="28" t="s">
        <v>33</v>
      </c>
      <c r="G15" s="46">
        <f>(G9+G10+G12)*C16</f>
        <v>274.80394000000001</v>
      </c>
      <c r="H15" s="30" t="s">
        <v>4</v>
      </c>
      <c r="I15" s="30" t="s">
        <v>4</v>
      </c>
      <c r="J15" s="30" t="s">
        <v>4</v>
      </c>
      <c r="K15" s="39">
        <f>(K9+K10+K12)*$C$16</f>
        <v>38887.350000000006</v>
      </c>
      <c r="L15" s="24"/>
    </row>
    <row r="16" spans="3:18" ht="15.9" x14ac:dyDescent="0.45">
      <c r="C16" s="31">
        <v>262</v>
      </c>
      <c r="D16" s="32" t="s">
        <v>34</v>
      </c>
      <c r="E16" s="33"/>
      <c r="F16" s="28" t="s">
        <v>35</v>
      </c>
      <c r="G16" s="30" t="s">
        <v>4</v>
      </c>
      <c r="H16" s="29">
        <f>(H9+H10+H12)*$C$16</f>
        <v>592.35787085772438</v>
      </c>
      <c r="I16" s="29">
        <f>(I9+I10+I12)*$C$16</f>
        <v>259.57838337323597</v>
      </c>
      <c r="J16" s="29">
        <f>(J9+J10+J12)*$C$16</f>
        <v>0</v>
      </c>
      <c r="K16" s="30" t="s">
        <v>4</v>
      </c>
      <c r="L16" s="39">
        <f>(L12+L10)*$C$16</f>
        <v>98597.351390922398</v>
      </c>
    </row>
    <row r="17" spans="3:13" ht="15.9" x14ac:dyDescent="0.45">
      <c r="C17" s="34"/>
      <c r="D17" s="35"/>
      <c r="E17" s="36"/>
      <c r="F17" s="28" t="s">
        <v>36</v>
      </c>
      <c r="G17" s="30" t="s">
        <v>4</v>
      </c>
      <c r="H17" s="46">
        <f>(H9+H11+H13)*$C$16</f>
        <v>252.06876638996135</v>
      </c>
      <c r="I17" s="46">
        <f>(I9+I11+I13)*$C$16</f>
        <v>110.45958211654749</v>
      </c>
      <c r="J17" s="46">
        <f>(J9+J11+J13)*$C$16</f>
        <v>0</v>
      </c>
      <c r="K17" s="30" t="s">
        <v>4</v>
      </c>
      <c r="L17" s="39">
        <f>(L13+L11)*$C$16</f>
        <v>32865.783796974138</v>
      </c>
    </row>
    <row r="19" spans="3:13" x14ac:dyDescent="0.4">
      <c r="G19" s="47" t="s">
        <v>37</v>
      </c>
      <c r="H19" s="47"/>
      <c r="I19" s="47"/>
      <c r="J19" s="47"/>
      <c r="K19" s="47"/>
      <c r="L19" s="47"/>
      <c r="M19" s="47"/>
    </row>
    <row r="21" spans="3:13" x14ac:dyDescent="0.4">
      <c r="G21" s="2" t="str">
        <f>F15</f>
        <v>Current (gas)</v>
      </c>
      <c r="H21" s="49">
        <f>G15</f>
        <v>274.80394000000001</v>
      </c>
    </row>
    <row r="22" spans="3:13" x14ac:dyDescent="0.4">
      <c r="G22" s="2" t="s">
        <v>38</v>
      </c>
      <c r="H22" s="49">
        <f>H17</f>
        <v>252.06876638996135</v>
      </c>
    </row>
    <row r="23" spans="3:13" x14ac:dyDescent="0.4">
      <c r="G23" s="2" t="s">
        <v>39</v>
      </c>
      <c r="H23" s="49">
        <f>I17</f>
        <v>110.45958211654749</v>
      </c>
    </row>
    <row r="24" spans="3:13" x14ac:dyDescent="0.4">
      <c r="G24" s="2" t="s">
        <v>40</v>
      </c>
      <c r="H24" s="49">
        <f>J17</f>
        <v>0</v>
      </c>
    </row>
    <row r="34" spans="3:21" ht="15.9" x14ac:dyDescent="0.45">
      <c r="C34" s="32" t="s">
        <v>41</v>
      </c>
    </row>
    <row r="36" spans="3:21" ht="67.75" x14ac:dyDescent="0.4">
      <c r="C36" s="3" t="s">
        <v>42</v>
      </c>
      <c r="D36" s="3" t="s">
        <v>43</v>
      </c>
      <c r="E36" s="3" t="s">
        <v>44</v>
      </c>
      <c r="F36" s="3" t="s">
        <v>45</v>
      </c>
      <c r="G36" s="3" t="s">
        <v>46</v>
      </c>
      <c r="H36" s="3" t="s">
        <v>47</v>
      </c>
      <c r="I36" s="3" t="s">
        <v>48</v>
      </c>
      <c r="J36" s="3" t="s">
        <v>49</v>
      </c>
      <c r="K36" s="3" t="s">
        <v>50</v>
      </c>
      <c r="L36" s="3" t="s">
        <v>19</v>
      </c>
      <c r="M36" s="3" t="s">
        <v>20</v>
      </c>
      <c r="N36" s="3" t="s">
        <v>21</v>
      </c>
      <c r="O36" s="3" t="s">
        <v>51</v>
      </c>
      <c r="P36" s="3" t="s">
        <v>52</v>
      </c>
      <c r="Q36" s="3" t="s">
        <v>53</v>
      </c>
      <c r="R36" s="3" t="s">
        <v>54</v>
      </c>
      <c r="S36" s="3" t="s">
        <v>55</v>
      </c>
      <c r="T36" s="51" t="s">
        <v>56</v>
      </c>
      <c r="U36" s="50" t="s">
        <v>57</v>
      </c>
    </row>
    <row r="37" spans="3:21" x14ac:dyDescent="0.4">
      <c r="C37" s="4" t="s">
        <v>58</v>
      </c>
      <c r="D37" s="16">
        <v>1000</v>
      </c>
      <c r="E37" s="16">
        <v>25</v>
      </c>
      <c r="F37" s="16">
        <v>10</v>
      </c>
      <c r="G37" s="16">
        <v>0</v>
      </c>
      <c r="H37" s="16">
        <v>60</v>
      </c>
      <c r="I37" s="16">
        <v>50</v>
      </c>
      <c r="J37" s="4">
        <f>D37*I37/100</f>
        <v>500</v>
      </c>
      <c r="K37" s="7">
        <f>D37*F37/3.415+D37*G37/3.415</f>
        <v>2928.2576866764275</v>
      </c>
      <c r="L37" s="17">
        <f>D37*H37*$H$2</f>
        <v>3.18</v>
      </c>
      <c r="M37" s="18">
        <f>D37*E37*$H$3</f>
        <v>3.7898616384956938</v>
      </c>
      <c r="N37" s="18">
        <f>D37*E37*$H$4</f>
        <v>1.6607632070533278</v>
      </c>
      <c r="O37" s="18">
        <f>D37*E37*$H$5</f>
        <v>0</v>
      </c>
      <c r="P37" s="8">
        <f>L37+M37</f>
        <v>6.9698616384956935</v>
      </c>
      <c r="Q37" s="8">
        <f>L37+N37</f>
        <v>4.8407632070533282</v>
      </c>
      <c r="R37" s="8">
        <f>L37+O37</f>
        <v>3.18</v>
      </c>
      <c r="S37" s="38">
        <f>J37*$K$3</f>
        <v>375</v>
      </c>
      <c r="T37" s="38">
        <f>K37*$K$2</f>
        <v>292.82576866764276</v>
      </c>
      <c r="U37" s="52">
        <f>S37+T37</f>
        <v>667.82576866764271</v>
      </c>
    </row>
    <row r="38" spans="3:21" x14ac:dyDescent="0.4">
      <c r="C38" s="12" t="s">
        <v>59</v>
      </c>
      <c r="D38" s="12">
        <f>D37</f>
        <v>1000</v>
      </c>
      <c r="E38" s="14">
        <f>E37-(F37-F38)+G38</f>
        <v>29.375</v>
      </c>
      <c r="F38" s="12">
        <f>F37*0.5</f>
        <v>5</v>
      </c>
      <c r="G38" s="14">
        <f>(I37*0.75)/$K$6</f>
        <v>9.375</v>
      </c>
      <c r="H38" s="12">
        <f>H37-I37</f>
        <v>10</v>
      </c>
      <c r="I38" s="12">
        <v>0</v>
      </c>
      <c r="J38" s="12">
        <f t="shared" ref="J38:J50" si="6">D38*I38/100</f>
        <v>0</v>
      </c>
      <c r="K38" s="15">
        <f>D38*F38/3.415+D38*G38/3.415</f>
        <v>4209.370424597364</v>
      </c>
      <c r="L38" s="14">
        <f>D38*H38*$H$2</f>
        <v>0.53</v>
      </c>
      <c r="M38" s="14">
        <f>D38*E38*$H$3</f>
        <v>4.4530874252324404</v>
      </c>
      <c r="N38" s="14">
        <f>D38*E38*$H$4</f>
        <v>1.9513967682876601</v>
      </c>
      <c r="O38" s="14">
        <f>D38*E38*$H$5</f>
        <v>0</v>
      </c>
      <c r="P38" s="14">
        <f>L38+M38</f>
        <v>4.9830874252324406</v>
      </c>
      <c r="Q38" s="14">
        <f t="shared" ref="Q38:Q48" si="7">L38+N38</f>
        <v>2.4813967682876603</v>
      </c>
      <c r="R38" s="14">
        <f>L38+O38</f>
        <v>0.53</v>
      </c>
      <c r="S38" s="43">
        <f t="shared" ref="S38:S48" si="8">J38*$K$3</f>
        <v>0</v>
      </c>
      <c r="T38" s="43">
        <f t="shared" ref="T38:T48" si="9">K38*$K$2</f>
        <v>420.9370424597364</v>
      </c>
      <c r="U38" s="44">
        <f>S38+T38</f>
        <v>420.9370424597364</v>
      </c>
    </row>
    <row r="39" spans="3:21" x14ac:dyDescent="0.4">
      <c r="C39" s="4" t="s">
        <v>60</v>
      </c>
      <c r="D39" s="16">
        <v>60000</v>
      </c>
      <c r="E39" s="16">
        <v>20</v>
      </c>
      <c r="F39" s="16">
        <v>5</v>
      </c>
      <c r="G39" s="16">
        <v>0</v>
      </c>
      <c r="H39" s="16">
        <v>30</v>
      </c>
      <c r="I39" s="16">
        <v>25</v>
      </c>
      <c r="J39" s="4">
        <f t="shared" si="6"/>
        <v>15000</v>
      </c>
      <c r="K39" s="7">
        <f>D39*F39/3.415+D39*G39/3.415</f>
        <v>87847.730600292824</v>
      </c>
      <c r="L39" s="19">
        <f>D39*H39*$H$2</f>
        <v>95.4</v>
      </c>
      <c r="M39" s="20">
        <f t="shared" ref="M39:M48" si="10">D39*E39*$H$3</f>
        <v>181.9133586477933</v>
      </c>
      <c r="N39" s="20">
        <f t="shared" ref="N39:N48" si="11">D39*E39*$H$4</f>
        <v>79.716633938559738</v>
      </c>
      <c r="O39" s="20">
        <f t="shared" ref="O39:O48" si="12">D39*E39*$H$5</f>
        <v>0</v>
      </c>
      <c r="P39" s="8">
        <f t="shared" ref="P39:P48" si="13">L39+M39</f>
        <v>277.31335864779328</v>
      </c>
      <c r="Q39" s="8">
        <f t="shared" si="7"/>
        <v>175.11663393855974</v>
      </c>
      <c r="R39" s="8">
        <f t="shared" ref="R39:R48" si="14">L39+O39</f>
        <v>95.4</v>
      </c>
      <c r="S39" s="38">
        <f t="shared" si="8"/>
        <v>11250</v>
      </c>
      <c r="T39" s="38">
        <f t="shared" si="9"/>
        <v>8784.7730600292834</v>
      </c>
      <c r="U39" s="42">
        <f t="shared" ref="U39:U48" si="15">S39+T39</f>
        <v>20034.773060029285</v>
      </c>
    </row>
    <row r="40" spans="3:21" x14ac:dyDescent="0.4">
      <c r="C40" s="12" t="s">
        <v>61</v>
      </c>
      <c r="D40" s="12">
        <f>D39</f>
        <v>60000</v>
      </c>
      <c r="E40" s="14">
        <f>E39-(F39-F40)+G40</f>
        <v>22.1875</v>
      </c>
      <c r="F40" s="12">
        <f>F39*0.5</f>
        <v>2.5</v>
      </c>
      <c r="G40" s="14">
        <f>(I39*0.75)/$K$6</f>
        <v>4.6875</v>
      </c>
      <c r="H40" s="12">
        <f>H39-I39</f>
        <v>5</v>
      </c>
      <c r="I40" s="12">
        <v>0</v>
      </c>
      <c r="J40" s="12">
        <f t="shared" si="6"/>
        <v>0</v>
      </c>
      <c r="K40" s="15">
        <f t="shared" ref="K40:K48" si="16">D40*F40/3.415+D40*G40/3.415</f>
        <v>126281.11273792094</v>
      </c>
      <c r="L40" s="14">
        <f>D40*H40*$H$2</f>
        <v>15.9</v>
      </c>
      <c r="M40" s="14">
        <f t="shared" si="10"/>
        <v>201.8101322498957</v>
      </c>
      <c r="N40" s="14">
        <f t="shared" si="11"/>
        <v>88.435640775589704</v>
      </c>
      <c r="O40" s="14">
        <f t="shared" si="12"/>
        <v>0</v>
      </c>
      <c r="P40" s="14">
        <f t="shared" si="13"/>
        <v>217.71013224989571</v>
      </c>
      <c r="Q40" s="14">
        <f t="shared" si="7"/>
        <v>104.33564077558971</v>
      </c>
      <c r="R40" s="14">
        <f t="shared" si="14"/>
        <v>15.9</v>
      </c>
      <c r="S40" s="43">
        <f t="shared" si="8"/>
        <v>0</v>
      </c>
      <c r="T40" s="43">
        <f t="shared" si="9"/>
        <v>12628.111273792094</v>
      </c>
      <c r="U40" s="44">
        <f t="shared" si="15"/>
        <v>12628.111273792094</v>
      </c>
    </row>
    <row r="41" spans="3:21" x14ac:dyDescent="0.4">
      <c r="C41" s="4" t="s">
        <v>62</v>
      </c>
      <c r="D41" s="16">
        <v>30000</v>
      </c>
      <c r="E41" s="16">
        <v>25</v>
      </c>
      <c r="F41" s="16">
        <v>4</v>
      </c>
      <c r="G41" s="16">
        <v>0</v>
      </c>
      <c r="H41" s="16">
        <v>40</v>
      </c>
      <c r="I41" s="16">
        <v>35</v>
      </c>
      <c r="J41" s="4">
        <f>D41*I41/100</f>
        <v>10500</v>
      </c>
      <c r="K41" s="7">
        <f>D41*F41/3.415+D41*G41/3.415</f>
        <v>35139.092240117126</v>
      </c>
      <c r="L41" s="4">
        <f t="shared" ref="L41:L48" si="17">D41*H41*$H$2</f>
        <v>63.6</v>
      </c>
      <c r="M41" s="6">
        <f t="shared" si="10"/>
        <v>113.69584915487081</v>
      </c>
      <c r="N41" s="6">
        <f t="shared" si="11"/>
        <v>49.822896211599833</v>
      </c>
      <c r="O41" s="6">
        <f t="shared" si="12"/>
        <v>0</v>
      </c>
      <c r="P41" s="8">
        <f t="shared" si="13"/>
        <v>177.29584915487081</v>
      </c>
      <c r="Q41" s="8">
        <f t="shared" si="7"/>
        <v>113.42289621159983</v>
      </c>
      <c r="R41" s="8">
        <f t="shared" si="14"/>
        <v>63.6</v>
      </c>
      <c r="S41" s="38">
        <f t="shared" si="8"/>
        <v>7875</v>
      </c>
      <c r="T41" s="38">
        <f t="shared" si="9"/>
        <v>3513.9092240117129</v>
      </c>
      <c r="U41" s="42">
        <f t="shared" si="15"/>
        <v>11388.909224011713</v>
      </c>
    </row>
    <row r="42" spans="3:21" x14ac:dyDescent="0.4">
      <c r="C42" s="12" t="s">
        <v>63</v>
      </c>
      <c r="D42" s="12">
        <f>D41</f>
        <v>30000</v>
      </c>
      <c r="E42" s="14">
        <f>E41-(F41-F42)+G42</f>
        <v>29.5625</v>
      </c>
      <c r="F42" s="12">
        <f>F41*0.5</f>
        <v>2</v>
      </c>
      <c r="G42" s="14">
        <f>(I41*0.75)/$K$6</f>
        <v>6.5625</v>
      </c>
      <c r="H42" s="12">
        <f>H41-I41</f>
        <v>5</v>
      </c>
      <c r="I42" s="12">
        <v>0</v>
      </c>
      <c r="J42" s="12">
        <f t="shared" si="6"/>
        <v>0</v>
      </c>
      <c r="K42" s="15">
        <f t="shared" si="16"/>
        <v>75219.619326500731</v>
      </c>
      <c r="L42" s="14">
        <f t="shared" si="17"/>
        <v>7.95</v>
      </c>
      <c r="M42" s="14">
        <f t="shared" si="10"/>
        <v>134.44534162563474</v>
      </c>
      <c r="N42" s="14">
        <f t="shared" si="11"/>
        <v>58.915574770216807</v>
      </c>
      <c r="O42" s="14">
        <f t="shared" si="12"/>
        <v>0</v>
      </c>
      <c r="P42" s="14">
        <f t="shared" si="13"/>
        <v>142.39534162563473</v>
      </c>
      <c r="Q42" s="14">
        <f t="shared" si="7"/>
        <v>66.86557477021681</v>
      </c>
      <c r="R42" s="14">
        <f t="shared" si="14"/>
        <v>7.95</v>
      </c>
      <c r="S42" s="43">
        <f t="shared" si="8"/>
        <v>0</v>
      </c>
      <c r="T42" s="43">
        <f t="shared" si="9"/>
        <v>7521.9619326500733</v>
      </c>
      <c r="U42" s="44">
        <f t="shared" si="15"/>
        <v>7521.9619326500733</v>
      </c>
    </row>
    <row r="43" spans="3:21" x14ac:dyDescent="0.4">
      <c r="C43" s="4" t="s">
        <v>64</v>
      </c>
      <c r="D43" s="16">
        <v>40000</v>
      </c>
      <c r="E43" s="16">
        <v>25</v>
      </c>
      <c r="F43" s="16">
        <v>5</v>
      </c>
      <c r="G43" s="16">
        <v>0</v>
      </c>
      <c r="H43" s="16">
        <v>47</v>
      </c>
      <c r="I43" s="16">
        <v>42</v>
      </c>
      <c r="J43" s="4">
        <f t="shared" si="6"/>
        <v>16800</v>
      </c>
      <c r="K43" s="7">
        <f>D43*F43/3.415+D43*G43/3.415</f>
        <v>58565.153733528547</v>
      </c>
      <c r="L43" s="4">
        <f>D43*H43*$H$2</f>
        <v>99.64</v>
      </c>
      <c r="M43" s="6">
        <f t="shared" si="10"/>
        <v>151.59446553982775</v>
      </c>
      <c r="N43" s="6">
        <f t="shared" si="11"/>
        <v>66.43052828213311</v>
      </c>
      <c r="O43" s="6">
        <f t="shared" si="12"/>
        <v>0</v>
      </c>
      <c r="P43" s="8">
        <f t="shared" si="13"/>
        <v>251.23446553982774</v>
      </c>
      <c r="Q43" s="8">
        <f t="shared" si="7"/>
        <v>166.07052828213313</v>
      </c>
      <c r="R43" s="8">
        <f t="shared" si="14"/>
        <v>99.64</v>
      </c>
      <c r="S43" s="38">
        <f t="shared" si="8"/>
        <v>12600</v>
      </c>
      <c r="T43" s="38">
        <f t="shared" si="9"/>
        <v>5856.515373352855</v>
      </c>
      <c r="U43" s="42">
        <f t="shared" si="15"/>
        <v>18456.515373352857</v>
      </c>
    </row>
    <row r="44" spans="3:21" x14ac:dyDescent="0.4">
      <c r="C44" s="12" t="s">
        <v>65</v>
      </c>
      <c r="D44" s="12">
        <f>D43</f>
        <v>40000</v>
      </c>
      <c r="E44" s="14">
        <f>E43-(F43-F44)+G44</f>
        <v>30.375</v>
      </c>
      <c r="F44" s="12">
        <f>F43*0.5</f>
        <v>2.5</v>
      </c>
      <c r="G44" s="14">
        <f>(I43*0.75)/$K$6</f>
        <v>7.875</v>
      </c>
      <c r="H44" s="12">
        <f>H43-I43</f>
        <v>5</v>
      </c>
      <c r="I44" s="12">
        <v>0</v>
      </c>
      <c r="J44" s="12">
        <f t="shared" si="6"/>
        <v>0</v>
      </c>
      <c r="K44" s="15">
        <f>D44*F44/3.415+D44*G44/3.415</f>
        <v>121522.69399707174</v>
      </c>
      <c r="L44" s="14">
        <f t="shared" si="17"/>
        <v>10.6</v>
      </c>
      <c r="M44" s="14">
        <f t="shared" si="10"/>
        <v>184.18727563089072</v>
      </c>
      <c r="N44" s="14">
        <f t="shared" si="11"/>
        <v>80.713091862791728</v>
      </c>
      <c r="O44" s="14">
        <f t="shared" si="12"/>
        <v>0</v>
      </c>
      <c r="P44" s="14">
        <f t="shared" si="13"/>
        <v>194.78727563089072</v>
      </c>
      <c r="Q44" s="14">
        <f t="shared" si="7"/>
        <v>91.313091862791723</v>
      </c>
      <c r="R44" s="14">
        <f t="shared" si="14"/>
        <v>10.6</v>
      </c>
      <c r="S44" s="43">
        <f t="shared" si="8"/>
        <v>0</v>
      </c>
      <c r="T44" s="43">
        <f t="shared" si="9"/>
        <v>12152.269399707175</v>
      </c>
      <c r="U44" s="44">
        <f t="shared" si="15"/>
        <v>12152.269399707175</v>
      </c>
    </row>
    <row r="45" spans="3:21" x14ac:dyDescent="0.4">
      <c r="C45" s="4" t="s">
        <v>66</v>
      </c>
      <c r="D45" s="16">
        <v>40000</v>
      </c>
      <c r="E45" s="16">
        <v>25</v>
      </c>
      <c r="F45" s="16">
        <v>2</v>
      </c>
      <c r="G45" s="16">
        <v>0</v>
      </c>
      <c r="H45" s="16">
        <v>130</v>
      </c>
      <c r="I45" s="16">
        <v>90</v>
      </c>
      <c r="J45" s="4">
        <f>D45*I45/100</f>
        <v>36000</v>
      </c>
      <c r="K45" s="7">
        <f>D45*F45/3.415+D45*G45/3.415</f>
        <v>23426.06149341142</v>
      </c>
      <c r="L45" s="4">
        <f t="shared" si="17"/>
        <v>275.60000000000002</v>
      </c>
      <c r="M45" s="6">
        <f t="shared" si="10"/>
        <v>151.59446553982775</v>
      </c>
      <c r="N45" s="6">
        <f t="shared" si="11"/>
        <v>66.43052828213311</v>
      </c>
      <c r="O45" s="6">
        <f t="shared" si="12"/>
        <v>0</v>
      </c>
      <c r="P45" s="8">
        <f t="shared" si="13"/>
        <v>427.19446553982777</v>
      </c>
      <c r="Q45" s="8">
        <f t="shared" si="7"/>
        <v>342.0305282821331</v>
      </c>
      <c r="R45" s="8">
        <f t="shared" si="14"/>
        <v>275.60000000000002</v>
      </c>
      <c r="S45" s="38">
        <f t="shared" si="8"/>
        <v>27000</v>
      </c>
      <c r="T45" s="38">
        <f t="shared" si="9"/>
        <v>2342.6061493411421</v>
      </c>
      <c r="U45" s="42">
        <f t="shared" si="15"/>
        <v>29342.606149341143</v>
      </c>
    </row>
    <row r="46" spans="3:21" x14ac:dyDescent="0.4">
      <c r="C46" s="12" t="s">
        <v>67</v>
      </c>
      <c r="D46" s="12">
        <f>D45</f>
        <v>40000</v>
      </c>
      <c r="E46" s="14">
        <f>E45-(F45-F46)+G46</f>
        <v>40.875</v>
      </c>
      <c r="F46" s="12">
        <f>F45*0.5</f>
        <v>1</v>
      </c>
      <c r="G46" s="14">
        <f>(I45*0.75)/$K$6</f>
        <v>16.875</v>
      </c>
      <c r="H46" s="12">
        <f>H45-I45</f>
        <v>40</v>
      </c>
      <c r="I46" s="12">
        <v>0</v>
      </c>
      <c r="J46" s="12">
        <f t="shared" si="6"/>
        <v>0</v>
      </c>
      <c r="K46" s="15">
        <f t="shared" si="16"/>
        <v>209370.42459736456</v>
      </c>
      <c r="L46" s="14">
        <f t="shared" si="17"/>
        <v>84.8</v>
      </c>
      <c r="M46" s="14">
        <f t="shared" si="10"/>
        <v>247.85695115761837</v>
      </c>
      <c r="N46" s="14">
        <f t="shared" si="11"/>
        <v>108.61391374128763</v>
      </c>
      <c r="O46" s="14">
        <f t="shared" si="12"/>
        <v>0</v>
      </c>
      <c r="P46" s="14">
        <f t="shared" si="13"/>
        <v>332.65695115761838</v>
      </c>
      <c r="Q46" s="14">
        <f t="shared" si="7"/>
        <v>193.41391374128762</v>
      </c>
      <c r="R46" s="14">
        <f t="shared" si="14"/>
        <v>84.8</v>
      </c>
      <c r="S46" s="43">
        <f t="shared" si="8"/>
        <v>0</v>
      </c>
      <c r="T46" s="43">
        <f t="shared" si="9"/>
        <v>20937.042459736458</v>
      </c>
      <c r="U46" s="44">
        <f t="shared" si="15"/>
        <v>20937.042459736458</v>
      </c>
    </row>
    <row r="47" spans="3:21" x14ac:dyDescent="0.4">
      <c r="C47" s="4" t="s">
        <v>68</v>
      </c>
      <c r="D47" s="16">
        <v>65000</v>
      </c>
      <c r="E47" s="16">
        <v>25</v>
      </c>
      <c r="F47" s="16">
        <v>0</v>
      </c>
      <c r="G47" s="16">
        <v>0</v>
      </c>
      <c r="H47" s="16">
        <v>130</v>
      </c>
      <c r="I47" s="16">
        <v>90</v>
      </c>
      <c r="J47" s="4">
        <f t="shared" si="6"/>
        <v>58500</v>
      </c>
      <c r="K47" s="7">
        <f>D47*F47/3.415+D47*G47/3.415</f>
        <v>0</v>
      </c>
      <c r="L47" s="4">
        <f t="shared" si="17"/>
        <v>447.85</v>
      </c>
      <c r="M47" s="6">
        <f t="shared" si="10"/>
        <v>246.3410065022201</v>
      </c>
      <c r="N47" s="6">
        <f t="shared" si="11"/>
        <v>107.9496084584663</v>
      </c>
      <c r="O47" s="6">
        <f t="shared" si="12"/>
        <v>0</v>
      </c>
      <c r="P47" s="8">
        <f t="shared" si="13"/>
        <v>694.19100650222015</v>
      </c>
      <c r="Q47" s="8">
        <f t="shared" si="7"/>
        <v>555.79960845846631</v>
      </c>
      <c r="R47" s="8">
        <f t="shared" si="14"/>
        <v>447.85</v>
      </c>
      <c r="S47" s="38">
        <f t="shared" si="8"/>
        <v>43875</v>
      </c>
      <c r="T47" s="38">
        <f t="shared" si="9"/>
        <v>0</v>
      </c>
      <c r="U47" s="42">
        <f t="shared" si="15"/>
        <v>43875</v>
      </c>
    </row>
    <row r="48" spans="3:21" x14ac:dyDescent="0.4">
      <c r="C48" s="12" t="s">
        <v>69</v>
      </c>
      <c r="D48" s="12">
        <f>D47</f>
        <v>65000</v>
      </c>
      <c r="E48" s="14">
        <f>E47-(F47-F48)+G48</f>
        <v>41.875</v>
      </c>
      <c r="F48" s="12">
        <f>F47*0.5</f>
        <v>0</v>
      </c>
      <c r="G48" s="14">
        <f>(I47*0.75)/$K$6</f>
        <v>16.875</v>
      </c>
      <c r="H48" s="12">
        <f>H47-I47</f>
        <v>40</v>
      </c>
      <c r="I48" s="12">
        <v>0</v>
      </c>
      <c r="J48" s="45">
        <f t="shared" si="6"/>
        <v>0</v>
      </c>
      <c r="K48" s="15">
        <f t="shared" si="16"/>
        <v>321193.26500732062</v>
      </c>
      <c r="L48" s="14">
        <f t="shared" si="17"/>
        <v>137.80000000000001</v>
      </c>
      <c r="M48" s="14">
        <f t="shared" si="10"/>
        <v>412.62118589121866</v>
      </c>
      <c r="N48" s="14">
        <f t="shared" si="11"/>
        <v>180.81559416793107</v>
      </c>
      <c r="O48" s="14">
        <f t="shared" si="12"/>
        <v>0</v>
      </c>
      <c r="P48" s="14">
        <f t="shared" si="13"/>
        <v>550.42118589121867</v>
      </c>
      <c r="Q48" s="14">
        <f t="shared" si="7"/>
        <v>318.61559416793108</v>
      </c>
      <c r="R48" s="14">
        <f t="shared" si="14"/>
        <v>137.80000000000001</v>
      </c>
      <c r="S48" s="43">
        <f t="shared" si="8"/>
        <v>0</v>
      </c>
      <c r="T48" s="43">
        <f t="shared" si="9"/>
        <v>32119.326500732062</v>
      </c>
      <c r="U48" s="44">
        <f t="shared" si="15"/>
        <v>32119.326500732062</v>
      </c>
    </row>
    <row r="49" spans="3:22" x14ac:dyDescent="0.4">
      <c r="C49" s="4" t="s">
        <v>70</v>
      </c>
      <c r="D49" s="16">
        <v>4500</v>
      </c>
      <c r="E49" s="16">
        <v>40</v>
      </c>
      <c r="F49" s="16">
        <v>11</v>
      </c>
      <c r="G49" s="16">
        <v>0</v>
      </c>
      <c r="H49" s="16">
        <v>78</v>
      </c>
      <c r="I49" s="16">
        <v>75</v>
      </c>
      <c r="J49" s="4">
        <f t="shared" si="6"/>
        <v>3375</v>
      </c>
      <c r="K49" s="7">
        <f>D49*F49/3.415+D49*G49/3.415</f>
        <v>14494.875549048316</v>
      </c>
      <c r="L49" s="4">
        <f t="shared" ref="L49:L50" si="18">D49*H49*$H$2</f>
        <v>18.603000000000002</v>
      </c>
      <c r="M49" s="6">
        <f t="shared" ref="M49:M50" si="19">D49*E49*$H$3</f>
        <v>27.287003797168996</v>
      </c>
      <c r="N49" s="6">
        <f t="shared" ref="N49:N50" si="20">D49*E49*$H$4</f>
        <v>11.95749509078396</v>
      </c>
      <c r="O49" s="6">
        <f t="shared" ref="O49:O50" si="21">D49*E49*$H$5</f>
        <v>0</v>
      </c>
      <c r="P49" s="8">
        <f t="shared" ref="P49:P50" si="22">L49+M49</f>
        <v>45.890003797169001</v>
      </c>
      <c r="Q49" s="8">
        <f t="shared" ref="Q49:Q50" si="23">L49+N49</f>
        <v>30.560495090783959</v>
      </c>
      <c r="R49" s="8">
        <f t="shared" ref="R49:R50" si="24">L49+O49</f>
        <v>18.603000000000002</v>
      </c>
      <c r="S49" s="38">
        <f t="shared" ref="S49:S50" si="25">J49*$K$3</f>
        <v>2531.25</v>
      </c>
      <c r="T49" s="38">
        <f t="shared" ref="T49:T50" si="26">K49*$K$2</f>
        <v>1449.4875549048318</v>
      </c>
      <c r="U49" s="42">
        <f t="shared" ref="U49:U50" si="27">S49+T49</f>
        <v>3980.737554904832</v>
      </c>
    </row>
    <row r="50" spans="3:22" x14ac:dyDescent="0.4">
      <c r="C50" s="12" t="s">
        <v>70</v>
      </c>
      <c r="D50" s="12">
        <f>D49</f>
        <v>4500</v>
      </c>
      <c r="E50" s="14">
        <f>E49-(F49-F50)+G50</f>
        <v>48.5625</v>
      </c>
      <c r="F50" s="12">
        <f>F49*0.5</f>
        <v>5.5</v>
      </c>
      <c r="G50" s="14">
        <f>(I49*0.75)/$K$6</f>
        <v>14.0625</v>
      </c>
      <c r="H50" s="12">
        <f>H49-I49</f>
        <v>3</v>
      </c>
      <c r="I50" s="12">
        <v>0</v>
      </c>
      <c r="J50" s="15">
        <f t="shared" si="6"/>
        <v>0</v>
      </c>
      <c r="K50" s="15">
        <f t="shared" ref="K50" si="28">D50*F50/3.415+D50*G50/3.415</f>
        <v>25777.818448023427</v>
      </c>
      <c r="L50" s="14">
        <f t="shared" si="18"/>
        <v>0.71550000000000002</v>
      </c>
      <c r="M50" s="14">
        <f t="shared" si="19"/>
        <v>33.128128047500482</v>
      </c>
      <c r="N50" s="14">
        <f t="shared" si="20"/>
        <v>14.517146383654902</v>
      </c>
      <c r="O50" s="14">
        <f t="shared" si="21"/>
        <v>0</v>
      </c>
      <c r="P50" s="14">
        <f t="shared" si="22"/>
        <v>33.843628047500481</v>
      </c>
      <c r="Q50" s="14">
        <f t="shared" si="23"/>
        <v>15.232646383654902</v>
      </c>
      <c r="R50" s="14">
        <f t="shared" si="24"/>
        <v>0.71550000000000002</v>
      </c>
      <c r="S50" s="43">
        <f t="shared" si="25"/>
        <v>0</v>
      </c>
      <c r="T50" s="43">
        <f t="shared" si="26"/>
        <v>2577.7818448023427</v>
      </c>
      <c r="U50" s="44">
        <f t="shared" si="27"/>
        <v>2577.7818448023427</v>
      </c>
    </row>
    <row r="51" spans="3:22" x14ac:dyDescent="0.4">
      <c r="O51" s="17"/>
      <c r="P51" s="17"/>
      <c r="Q51" s="17"/>
      <c r="R51" s="17"/>
    </row>
    <row r="52" spans="3:22" x14ac:dyDescent="0.4">
      <c r="O52" s="19"/>
      <c r="P52" s="19"/>
      <c r="Q52" s="19"/>
      <c r="R52" s="19"/>
    </row>
    <row r="53" spans="3:22" ht="15.9" x14ac:dyDescent="0.45">
      <c r="K53" s="32" t="s">
        <v>71</v>
      </c>
      <c r="N53" s="32"/>
      <c r="O53" s="28" t="s">
        <v>72</v>
      </c>
      <c r="P53" s="37">
        <f>P37*262+P39+P41+P43+P45+P47+P49</f>
        <v>3699.2228984675808</v>
      </c>
      <c r="Q53" s="37">
        <f t="shared" ref="Q53" si="29">Q37*262+Q39+Q41+Q43+Q45+Q47+Q49</f>
        <v>2651.2806505116482</v>
      </c>
      <c r="R53" s="37">
        <f>R37*262+R39+R41+R43+R45+R47+R49</f>
        <v>1833.8530000000001</v>
      </c>
      <c r="S53" t="s">
        <v>73</v>
      </c>
      <c r="U53" s="56">
        <f>U37*262+U39+U41+U43+U45+U47+U49</f>
        <v>302048.89275256224</v>
      </c>
      <c r="V53" t="s">
        <v>74</v>
      </c>
    </row>
    <row r="54" spans="3:22" ht="15.9" x14ac:dyDescent="0.45">
      <c r="M54" s="32"/>
      <c r="N54" s="32"/>
      <c r="O54" s="28" t="s">
        <v>75</v>
      </c>
      <c r="P54" s="37">
        <f>P38*262+P40+P42+P44+P46+P48+P50</f>
        <v>2777.3834200136575</v>
      </c>
      <c r="Q54" s="37">
        <f>Q38*262+Q40+Q42+Q44+Q46+Q48+Q50</f>
        <v>1439.9024149928384</v>
      </c>
      <c r="R54" s="37">
        <f>R38*262+R40+R42+R44+R46+R48+R50</f>
        <v>396.62550000000005</v>
      </c>
      <c r="S54" t="s">
        <v>73</v>
      </c>
      <c r="U54" s="56">
        <f t="shared" ref="U54" si="30">U38*262+U40+U42+U44+U46+U48+U50</f>
        <v>198221.99853587116</v>
      </c>
      <c r="V54" t="s">
        <v>74</v>
      </c>
    </row>
    <row r="55" spans="3:22" x14ac:dyDescent="0.4">
      <c r="R55" t="s">
        <v>76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2C45F-A76A-48D6-83E1-1FB7D2E7A612}">
  <dimension ref="B1:P53"/>
  <sheetViews>
    <sheetView zoomScale="60" zoomScaleNormal="60" workbookViewId="0">
      <selection activeCell="M45" sqref="M45"/>
    </sheetView>
  </sheetViews>
  <sheetFormatPr defaultRowHeight="14.6" x14ac:dyDescent="0.4"/>
  <cols>
    <col min="2" max="2" width="26.84375" customWidth="1"/>
    <col min="3" max="3" width="20.69140625" customWidth="1"/>
    <col min="4" max="5" width="39.53515625" customWidth="1"/>
    <col min="6" max="6" width="17.84375" customWidth="1"/>
    <col min="7" max="7" width="16.15234375" customWidth="1"/>
  </cols>
  <sheetData>
    <row r="1" spans="2:15" x14ac:dyDescent="0.4">
      <c r="B1" s="55" t="s">
        <v>77</v>
      </c>
    </row>
    <row r="3" spans="2:15" x14ac:dyDescent="0.4">
      <c r="B3" s="65" t="s">
        <v>78</v>
      </c>
      <c r="C3" s="65"/>
      <c r="D3" s="65"/>
      <c r="E3" s="65"/>
      <c r="F3" s="65"/>
    </row>
    <row r="4" spans="2:15" x14ac:dyDescent="0.4">
      <c r="B4" s="65"/>
      <c r="C4" s="65"/>
      <c r="D4" s="65"/>
      <c r="E4" s="65"/>
      <c r="F4" s="65"/>
    </row>
    <row r="6" spans="2:15" ht="29.15" x14ac:dyDescent="0.4">
      <c r="B6" s="3" t="s">
        <v>42</v>
      </c>
      <c r="C6" s="3" t="s">
        <v>43</v>
      </c>
      <c r="D6" s="3" t="s">
        <v>79</v>
      </c>
      <c r="E6" s="3" t="s">
        <v>80</v>
      </c>
      <c r="F6" s="3" t="s">
        <v>81</v>
      </c>
      <c r="G6" s="3" t="s">
        <v>82</v>
      </c>
    </row>
    <row r="7" spans="2:15" x14ac:dyDescent="0.4">
      <c r="B7" s="4" t="s">
        <v>83</v>
      </c>
      <c r="C7" s="4">
        <v>1000</v>
      </c>
      <c r="D7" s="54" t="s">
        <v>84</v>
      </c>
      <c r="E7" s="54" t="s">
        <v>85</v>
      </c>
      <c r="F7" s="53" t="s">
        <v>86</v>
      </c>
      <c r="G7" s="53">
        <f>20000*262</f>
        <v>5240000</v>
      </c>
      <c r="H7" t="s">
        <v>87</v>
      </c>
    </row>
    <row r="8" spans="2:15" ht="29.15" x14ac:dyDescent="0.4">
      <c r="B8" s="4" t="s">
        <v>88</v>
      </c>
      <c r="C8" s="4">
        <v>60000</v>
      </c>
      <c r="D8" s="54" t="s">
        <v>89</v>
      </c>
      <c r="E8" s="54" t="s">
        <v>90</v>
      </c>
      <c r="F8" s="4" t="s">
        <v>91</v>
      </c>
      <c r="G8" s="53">
        <f>53*C8</f>
        <v>3180000</v>
      </c>
    </row>
    <row r="9" spans="2:15" ht="29.15" x14ac:dyDescent="0.4">
      <c r="B9" s="4" t="s">
        <v>92</v>
      </c>
      <c r="C9" s="4">
        <v>30000</v>
      </c>
      <c r="D9" s="54" t="s">
        <v>93</v>
      </c>
      <c r="E9" s="54" t="s">
        <v>94</v>
      </c>
      <c r="F9" s="4" t="s">
        <v>95</v>
      </c>
      <c r="G9" s="53">
        <f>48*C9</f>
        <v>1440000</v>
      </c>
    </row>
    <row r="10" spans="2:15" ht="43.75" x14ac:dyDescent="0.4">
      <c r="B10" s="4" t="s">
        <v>96</v>
      </c>
      <c r="C10" s="4">
        <v>40000</v>
      </c>
      <c r="D10" s="54" t="s">
        <v>97</v>
      </c>
      <c r="E10" s="54" t="s">
        <v>98</v>
      </c>
      <c r="F10" s="4" t="s">
        <v>91</v>
      </c>
      <c r="G10" s="53">
        <f>53*C10</f>
        <v>2120000</v>
      </c>
    </row>
    <row r="11" spans="2:15" x14ac:dyDescent="0.4">
      <c r="B11" s="4" t="s">
        <v>99</v>
      </c>
      <c r="C11" s="4">
        <v>40000</v>
      </c>
      <c r="D11" s="54" t="s">
        <v>100</v>
      </c>
      <c r="E11" s="54" t="s">
        <v>101</v>
      </c>
      <c r="F11" s="4" t="s">
        <v>102</v>
      </c>
      <c r="G11" s="53">
        <f>39*C11</f>
        <v>1560000</v>
      </c>
    </row>
    <row r="12" spans="2:15" ht="29.15" x14ac:dyDescent="0.4">
      <c r="B12" s="4" t="s">
        <v>103</v>
      </c>
      <c r="C12" s="4">
        <v>65000</v>
      </c>
      <c r="D12" s="54" t="s">
        <v>104</v>
      </c>
      <c r="E12" s="54" t="s">
        <v>105</v>
      </c>
      <c r="F12" s="4" t="s">
        <v>102</v>
      </c>
      <c r="G12" s="53">
        <f>39*C12</f>
        <v>2535000</v>
      </c>
    </row>
    <row r="13" spans="2:15" ht="49.5" customHeight="1" x14ac:dyDescent="0.4">
      <c r="B13" s="66" t="s">
        <v>106</v>
      </c>
      <c r="C13" s="67"/>
      <c r="D13" s="67"/>
      <c r="E13" s="67"/>
      <c r="F13" s="54" t="s">
        <v>107</v>
      </c>
      <c r="G13" s="54" t="s">
        <v>108</v>
      </c>
    </row>
    <row r="14" spans="2:15" x14ac:dyDescent="0.4">
      <c r="K14" t="s">
        <v>109</v>
      </c>
      <c r="L14" t="s">
        <v>110</v>
      </c>
      <c r="M14" t="s">
        <v>111</v>
      </c>
      <c r="N14" t="s">
        <v>109</v>
      </c>
      <c r="O14" t="s">
        <v>110</v>
      </c>
    </row>
    <row r="15" spans="2:15" x14ac:dyDescent="0.4">
      <c r="J15" t="str">
        <f>B11</f>
        <v xml:space="preserve">PW South Fleet/Maint </v>
      </c>
      <c r="K15">
        <f>45*C11</f>
        <v>1800000</v>
      </c>
      <c r="L15">
        <f>K15/12000</f>
        <v>150</v>
      </c>
      <c r="M15">
        <v>4</v>
      </c>
      <c r="N15">
        <f>K15/M15</f>
        <v>450000</v>
      </c>
      <c r="O15">
        <f>L15/M15</f>
        <v>37.5</v>
      </c>
    </row>
    <row r="16" spans="2:15" x14ac:dyDescent="0.4">
      <c r="J16" t="str">
        <f>B12</f>
        <v xml:space="preserve">Public works east fleet </v>
      </c>
      <c r="K16">
        <f>45*C12</f>
        <v>2925000</v>
      </c>
      <c r="L16">
        <f>K16/12000</f>
        <v>243.75</v>
      </c>
      <c r="M16">
        <v>6</v>
      </c>
      <c r="N16">
        <f>K16/M16</f>
        <v>487500</v>
      </c>
      <c r="O16">
        <f>L16/M16</f>
        <v>40.625</v>
      </c>
    </row>
    <row r="21" spans="2:4" x14ac:dyDescent="0.4">
      <c r="B21" t="s">
        <v>88</v>
      </c>
      <c r="D21" t="s">
        <v>112</v>
      </c>
    </row>
    <row r="52" spans="5:16" x14ac:dyDescent="0.4">
      <c r="E52" t="str">
        <f>B10</f>
        <v>PW Main</v>
      </c>
    </row>
    <row r="53" spans="5:16" x14ac:dyDescent="0.4">
      <c r="G53" t="str">
        <f>B12</f>
        <v xml:space="preserve">Public works east fleet </v>
      </c>
      <c r="P53" t="str">
        <f>B11</f>
        <v xml:space="preserve">PW South Fleet/Maint </v>
      </c>
    </row>
  </sheetData>
  <mergeCells count="2">
    <mergeCell ref="B3:F4"/>
    <mergeCell ref="B13:E1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8DBF-8924-47C4-8AE4-9D09A69ACFE7}">
  <dimension ref="C1:V55"/>
  <sheetViews>
    <sheetView topLeftCell="E7" zoomScale="52" zoomScaleNormal="82" workbookViewId="0">
      <selection activeCell="M45" sqref="M45"/>
    </sheetView>
  </sheetViews>
  <sheetFormatPr defaultRowHeight="14.6" x14ac:dyDescent="0.4"/>
  <cols>
    <col min="3" max="3" width="23" customWidth="1"/>
    <col min="4" max="5" width="12" customWidth="1"/>
    <col min="6" max="6" width="14.53515625" customWidth="1"/>
    <col min="7" max="8" width="12" customWidth="1"/>
    <col min="9" max="9" width="13.3828125" customWidth="1"/>
    <col min="10" max="10" width="13" customWidth="1"/>
    <col min="11" max="11" width="12.53515625" customWidth="1"/>
    <col min="12" max="12" width="11" bestFit="1" customWidth="1"/>
    <col min="19" max="19" width="10.3828125" bestFit="1" customWidth="1"/>
    <col min="20" max="20" width="9.53515625" bestFit="1" customWidth="1"/>
    <col min="21" max="21" width="12" customWidth="1"/>
  </cols>
  <sheetData>
    <row r="1" spans="3:18" x14ac:dyDescent="0.4">
      <c r="G1" t="s">
        <v>0</v>
      </c>
      <c r="H1" t="s">
        <v>1</v>
      </c>
    </row>
    <row r="2" spans="3:18" x14ac:dyDescent="0.4">
      <c r="E2" t="s">
        <v>2</v>
      </c>
      <c r="F2" s="2" t="s">
        <v>3</v>
      </c>
      <c r="G2" s="10" t="s">
        <v>4</v>
      </c>
      <c r="H2">
        <v>5.3000000000000001E-5</v>
      </c>
      <c r="J2" t="s">
        <v>5</v>
      </c>
      <c r="K2" s="40">
        <v>0.1</v>
      </c>
      <c r="P2" s="48" t="s">
        <v>6</v>
      </c>
      <c r="Q2" s="48"/>
      <c r="R2" s="48"/>
    </row>
    <row r="3" spans="3:18" x14ac:dyDescent="0.4">
      <c r="F3" s="2" t="s">
        <v>7</v>
      </c>
      <c r="G3" s="11">
        <v>1438</v>
      </c>
      <c r="H3" s="9">
        <f>G3/2204/1000/3.415</f>
        <v>1.9105419933941484E-4</v>
      </c>
      <c r="J3" t="s">
        <v>8</v>
      </c>
      <c r="K3" s="40">
        <v>0.75</v>
      </c>
      <c r="P3" t="s">
        <v>9</v>
      </c>
    </row>
    <row r="4" spans="3:18" x14ac:dyDescent="0.4">
      <c r="F4" s="2" t="s">
        <v>10</v>
      </c>
      <c r="G4" s="11">
        <v>500</v>
      </c>
      <c r="H4" s="9">
        <f t="shared" ref="H4:H5" si="0">G4/2204/1000/3.415</f>
        <v>6.6430528282133112E-5</v>
      </c>
      <c r="P4" t="s">
        <v>11</v>
      </c>
    </row>
    <row r="5" spans="3:18" x14ac:dyDescent="0.4">
      <c r="F5" s="2" t="s">
        <v>12</v>
      </c>
      <c r="G5">
        <v>0</v>
      </c>
      <c r="H5" s="9">
        <f t="shared" si="0"/>
        <v>0</v>
      </c>
      <c r="J5" t="s">
        <v>13</v>
      </c>
      <c r="K5" s="11">
        <v>3</v>
      </c>
    </row>
    <row r="6" spans="3:18" x14ac:dyDescent="0.4">
      <c r="J6" t="s">
        <v>14</v>
      </c>
      <c r="K6" s="11">
        <v>4</v>
      </c>
    </row>
    <row r="8" spans="3:18" s="1" customFormat="1" ht="41.15" x14ac:dyDescent="0.4">
      <c r="C8" s="3" t="s">
        <v>15</v>
      </c>
      <c r="D8" s="3" t="s">
        <v>16</v>
      </c>
      <c r="E8" s="3" t="s">
        <v>17</v>
      </c>
      <c r="F8" s="3" t="s">
        <v>18</v>
      </c>
      <c r="G8" s="3" t="s">
        <v>19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1" t="s">
        <v>25</v>
      </c>
      <c r="N8" s="1" t="s">
        <v>26</v>
      </c>
    </row>
    <row r="9" spans="3:18" x14ac:dyDescent="0.4">
      <c r="C9" s="4" t="s">
        <v>27</v>
      </c>
      <c r="D9" s="13" t="s">
        <v>4</v>
      </c>
      <c r="E9" s="4">
        <v>45</v>
      </c>
      <c r="F9" s="4">
        <v>604</v>
      </c>
      <c r="G9" s="5">
        <f>E9*100*$H$2</f>
        <v>0.23849999999999999</v>
      </c>
      <c r="H9" s="5">
        <f>F9*3.415*$H$3</f>
        <v>0.39407985480943736</v>
      </c>
      <c r="I9" s="5">
        <f>F9*3.415*$H$4</f>
        <v>0.13702359346642468</v>
      </c>
      <c r="J9" s="5">
        <f>F9*3.415*$H$5</f>
        <v>0</v>
      </c>
      <c r="K9" s="38">
        <f>E9*$K$3</f>
        <v>33.75</v>
      </c>
      <c r="L9" s="38">
        <f>F9*$K$2</f>
        <v>60.400000000000006</v>
      </c>
      <c r="M9">
        <f>E9*100</f>
        <v>4500</v>
      </c>
      <c r="N9">
        <f>F9*3.415</f>
        <v>2062.66</v>
      </c>
    </row>
    <row r="10" spans="3:18" x14ac:dyDescent="0.4">
      <c r="C10" s="4" t="s">
        <v>28</v>
      </c>
      <c r="D10" s="13" t="s">
        <v>4</v>
      </c>
      <c r="E10" s="4">
        <f>26.5+8.8*3</f>
        <v>52.900000000000006</v>
      </c>
      <c r="F10" s="4">
        <f>418+139*3</f>
        <v>835</v>
      </c>
      <c r="G10" s="5">
        <f>E10*100*$H$2</f>
        <v>0.28037000000000006</v>
      </c>
      <c r="H10" s="5">
        <f>F10*3.415*$H$3</f>
        <v>0.5447958257713249</v>
      </c>
      <c r="I10" s="5">
        <f>F10*3.415*$H$4</f>
        <v>0.18942831215970962</v>
      </c>
      <c r="J10" s="5">
        <f>F10*3.415*$H$5</f>
        <v>0</v>
      </c>
      <c r="K10" s="38">
        <f t="shared" ref="K10:K12" si="1">E10*$K$3</f>
        <v>39.675000000000004</v>
      </c>
      <c r="L10" s="38">
        <f t="shared" ref="L10:L13" si="2">F10*$K$2</f>
        <v>83.5</v>
      </c>
      <c r="M10">
        <f>E10*100</f>
        <v>5290.0000000000009</v>
      </c>
      <c r="N10">
        <f>F10*3.415</f>
        <v>2851.5250000000001</v>
      </c>
    </row>
    <row r="11" spans="3:18" x14ac:dyDescent="0.4">
      <c r="C11" s="4" t="s">
        <v>29</v>
      </c>
      <c r="D11" s="13" t="s">
        <v>4</v>
      </c>
      <c r="E11" s="13" t="s">
        <v>4</v>
      </c>
      <c r="F11" s="7">
        <f>F10/3</f>
        <v>278.33333333333331</v>
      </c>
      <c r="G11" s="13" t="s">
        <v>4</v>
      </c>
      <c r="H11" s="5">
        <f>F11*3.415*$H$3</f>
        <v>0.18159860859044163</v>
      </c>
      <c r="I11" s="5">
        <f>F11*3.415*$H$4</f>
        <v>6.3142770719903207E-2</v>
      </c>
      <c r="J11" s="5">
        <f>F11*3.415*$H$5</f>
        <v>0</v>
      </c>
      <c r="K11" s="38" t="s">
        <v>4</v>
      </c>
      <c r="L11" s="38">
        <f t="shared" si="2"/>
        <v>27.833333333333332</v>
      </c>
    </row>
    <row r="12" spans="3:18" x14ac:dyDescent="0.4">
      <c r="C12" s="4" t="s">
        <v>30</v>
      </c>
      <c r="D12" s="16">
        <v>10</v>
      </c>
      <c r="E12" s="4">
        <f>D37*D12/100</f>
        <v>21944.6</v>
      </c>
      <c r="F12" s="7">
        <f>D37*D12/3.415</f>
        <v>642594.43631039537</v>
      </c>
      <c r="G12" s="5">
        <f>E12*100*$H$2</f>
        <v>116.30638</v>
      </c>
      <c r="H12" s="5">
        <f t="shared" ref="H12:H13" si="3">F12*3.415*$H$3</f>
        <v>419.26079828237226</v>
      </c>
      <c r="I12" s="5">
        <f t="shared" ref="I12:I13" si="4">F12*3.415*$H$4</f>
        <v>145.77913709400983</v>
      </c>
      <c r="J12" s="5">
        <f t="shared" ref="J12:J13" si="5">F12*3.415*$H$5</f>
        <v>0</v>
      </c>
      <c r="K12" s="38">
        <f t="shared" si="1"/>
        <v>16458.449999999997</v>
      </c>
      <c r="L12" s="38">
        <f t="shared" si="2"/>
        <v>64259.443631039539</v>
      </c>
    </row>
    <row r="13" spans="3:18" x14ac:dyDescent="0.4">
      <c r="C13" s="4" t="s">
        <v>31</v>
      </c>
      <c r="D13" s="6">
        <f>D12/$K$5</f>
        <v>3.3333333333333335</v>
      </c>
      <c r="E13" s="13" t="s">
        <v>4</v>
      </c>
      <c r="F13" s="7">
        <f>D37*D13/3.415</f>
        <v>214198.14543679846</v>
      </c>
      <c r="G13" s="13" t="s">
        <v>4</v>
      </c>
      <c r="H13" s="5">
        <f t="shared" si="3"/>
        <v>139.75359942745743</v>
      </c>
      <c r="I13" s="5">
        <f t="shared" si="4"/>
        <v>48.59304569800328</v>
      </c>
      <c r="J13" s="5">
        <f t="shared" si="5"/>
        <v>0</v>
      </c>
      <c r="K13" s="38" t="s">
        <v>4</v>
      </c>
      <c r="L13" s="38">
        <f t="shared" si="2"/>
        <v>21419.814543679848</v>
      </c>
    </row>
    <row r="14" spans="3:18" ht="6.75" customHeight="1" x14ac:dyDescent="0.4">
      <c r="C14" s="21"/>
      <c r="D14" s="22"/>
      <c r="E14" s="22"/>
      <c r="F14" s="22"/>
      <c r="G14" s="22"/>
      <c r="H14" s="22"/>
      <c r="I14" s="22"/>
      <c r="J14" s="23"/>
      <c r="K14" s="41"/>
      <c r="L14" s="41"/>
    </row>
    <row r="15" spans="3:18" ht="15.9" x14ac:dyDescent="0.45">
      <c r="C15" s="25" t="s">
        <v>32</v>
      </c>
      <c r="D15" s="26"/>
      <c r="E15" s="27"/>
      <c r="F15" s="28" t="s">
        <v>33</v>
      </c>
      <c r="G15" s="46">
        <f>(G9+G10+G12)*C16</f>
        <v>30608.215500000002</v>
      </c>
      <c r="H15" s="30" t="s">
        <v>4</v>
      </c>
      <c r="I15" s="30" t="s">
        <v>4</v>
      </c>
      <c r="J15" s="30" t="s">
        <v>4</v>
      </c>
      <c r="K15" s="39">
        <f>(K9+K10+K12)*$C$16</f>
        <v>4331351.2499999991</v>
      </c>
      <c r="L15" s="24"/>
    </row>
    <row r="16" spans="3:18" ht="15.9" x14ac:dyDescent="0.45">
      <c r="C16" s="31">
        <v>262</v>
      </c>
      <c r="D16" s="32" t="s">
        <v>34</v>
      </c>
      <c r="E16" s="33"/>
      <c r="F16" s="28" t="s">
        <v>35</v>
      </c>
      <c r="G16" s="30" t="s">
        <v>4</v>
      </c>
      <c r="H16" s="29">
        <f>(H9+H10+H12)*$C$16</f>
        <v>110092.31457829369</v>
      </c>
      <c r="I16" s="29">
        <f>(I9+I10+I12)*$C$16</f>
        <v>38279.664317904622</v>
      </c>
      <c r="J16" s="29">
        <f>(J9+J10+J12)*$C$16</f>
        <v>0</v>
      </c>
      <c r="K16" s="30" t="s">
        <v>4</v>
      </c>
      <c r="L16" s="39">
        <f>(L12+L10)*$C$16</f>
        <v>16857851.231332358</v>
      </c>
    </row>
    <row r="17" spans="3:13" ht="15.9" x14ac:dyDescent="0.45">
      <c r="C17" s="34"/>
      <c r="D17" s="35"/>
      <c r="E17" s="36"/>
      <c r="F17" s="28" t="s">
        <v>36</v>
      </c>
      <c r="G17" s="30" t="s">
        <v>4</v>
      </c>
      <c r="H17" s="46">
        <f>(H9+H11+H13)*$C$16</f>
        <v>36766.27080740461</v>
      </c>
      <c r="I17" s="46">
        <f>(I9+I11+I13)*$C$16</f>
        <v>12783.821560293678</v>
      </c>
      <c r="J17" s="46">
        <f>(J9+J11+J13)*$C$16</f>
        <v>0</v>
      </c>
      <c r="K17" s="30" t="s">
        <v>4</v>
      </c>
      <c r="L17" s="39">
        <f>(L13+L11)*$C$16</f>
        <v>5619283.743777453</v>
      </c>
    </row>
    <row r="19" spans="3:13" x14ac:dyDescent="0.4">
      <c r="G19" s="47" t="s">
        <v>37</v>
      </c>
      <c r="H19" s="47"/>
      <c r="I19" s="47"/>
      <c r="J19" s="47"/>
      <c r="K19" s="47"/>
      <c r="L19" s="47"/>
      <c r="M19" s="47"/>
    </row>
    <row r="21" spans="3:13" x14ac:dyDescent="0.4">
      <c r="G21" s="2" t="str">
        <f>F15</f>
        <v>Current (gas)</v>
      </c>
      <c r="H21" s="49">
        <f>G15</f>
        <v>30608.215500000002</v>
      </c>
    </row>
    <row r="22" spans="3:13" x14ac:dyDescent="0.4">
      <c r="G22" s="2" t="s">
        <v>38</v>
      </c>
      <c r="H22" s="49">
        <f>H17</f>
        <v>36766.27080740461</v>
      </c>
    </row>
    <row r="23" spans="3:13" x14ac:dyDescent="0.4">
      <c r="G23" s="2" t="s">
        <v>39</v>
      </c>
      <c r="H23" s="49">
        <f>I17</f>
        <v>12783.821560293678</v>
      </c>
    </row>
    <row r="24" spans="3:13" x14ac:dyDescent="0.4">
      <c r="G24" s="2" t="s">
        <v>40</v>
      </c>
      <c r="H24" s="49">
        <f>J17</f>
        <v>0</v>
      </c>
    </row>
    <row r="34" spans="3:21" ht="15.9" x14ac:dyDescent="0.45">
      <c r="C34" s="32" t="s">
        <v>41</v>
      </c>
    </row>
    <row r="36" spans="3:21" ht="67.75" x14ac:dyDescent="0.4">
      <c r="C36" s="3" t="s">
        <v>42</v>
      </c>
      <c r="D36" s="3" t="s">
        <v>43</v>
      </c>
      <c r="E36" s="3" t="s">
        <v>44</v>
      </c>
      <c r="F36" s="3" t="s">
        <v>45</v>
      </c>
      <c r="G36" s="3" t="s">
        <v>46</v>
      </c>
      <c r="H36" s="3" t="s">
        <v>47</v>
      </c>
      <c r="I36" s="3" t="s">
        <v>48</v>
      </c>
      <c r="J36" s="3" t="s">
        <v>49</v>
      </c>
      <c r="K36" s="3" t="s">
        <v>50</v>
      </c>
      <c r="L36" s="3" t="s">
        <v>19</v>
      </c>
      <c r="M36" s="3" t="s">
        <v>20</v>
      </c>
      <c r="N36" s="3" t="s">
        <v>21</v>
      </c>
      <c r="O36" s="3" t="s">
        <v>51</v>
      </c>
      <c r="P36" s="3" t="s">
        <v>52</v>
      </c>
      <c r="Q36" s="3" t="s">
        <v>53</v>
      </c>
      <c r="R36" s="3" t="s">
        <v>54</v>
      </c>
      <c r="S36" s="3" t="s">
        <v>55</v>
      </c>
      <c r="T36" s="51" t="s">
        <v>56</v>
      </c>
      <c r="U36" s="50" t="s">
        <v>57</v>
      </c>
    </row>
    <row r="37" spans="3:21" x14ac:dyDescent="0.4">
      <c r="C37" s="4" t="s">
        <v>58</v>
      </c>
      <c r="D37" s="57">
        <v>219446</v>
      </c>
      <c r="E37" s="57">
        <v>28.6</v>
      </c>
      <c r="F37" s="57">
        <v>7.4</v>
      </c>
      <c r="G37" s="57">
        <v>0</v>
      </c>
      <c r="H37" s="57">
        <f>73.4+8.8</f>
        <v>82.2</v>
      </c>
      <c r="I37" s="57">
        <f>73.4</f>
        <v>73.400000000000006</v>
      </c>
      <c r="J37" s="4">
        <f>D37*I37/100</f>
        <v>161073.364</v>
      </c>
      <c r="K37" s="7">
        <f>D37*F37/3.415+D37*G37/3.415</f>
        <v>475519.88286969258</v>
      </c>
      <c r="L37" s="17">
        <f>D37*H37*$H$2</f>
        <v>956.03844359999994</v>
      </c>
      <c r="M37" s="18">
        <f>D37*E37*$H$3</f>
        <v>1199.0858830875848</v>
      </c>
      <c r="N37" s="18">
        <f>D37*E37*$H$4</f>
        <v>416.92833208886816</v>
      </c>
      <c r="O37" s="18">
        <f>D37*E37*$H$5</f>
        <v>0</v>
      </c>
      <c r="P37" s="8">
        <f>L37+M37</f>
        <v>2155.1243266875845</v>
      </c>
      <c r="Q37" s="8">
        <f>L37+N37</f>
        <v>1372.966775688868</v>
      </c>
      <c r="R37" s="8">
        <f>L37+O37</f>
        <v>956.03844359999994</v>
      </c>
      <c r="S37" s="38">
        <f>J37*$K$3</f>
        <v>120805.023</v>
      </c>
      <c r="T37" s="38">
        <f>K37*$K$2</f>
        <v>47551.988286969259</v>
      </c>
      <c r="U37" s="52">
        <f>S37+T37</f>
        <v>168357.01128696927</v>
      </c>
    </row>
    <row r="38" spans="3:21" x14ac:dyDescent="0.4">
      <c r="C38" s="12" t="s">
        <v>59</v>
      </c>
      <c r="D38" s="58">
        <f>D37</f>
        <v>219446</v>
      </c>
      <c r="E38" s="59">
        <v>36.5</v>
      </c>
      <c r="F38" s="58">
        <v>4.7</v>
      </c>
      <c r="G38" s="59">
        <v>14.5</v>
      </c>
      <c r="H38" s="58">
        <f>H37-I37</f>
        <v>8.7999999999999972</v>
      </c>
      <c r="I38" s="58">
        <v>0</v>
      </c>
      <c r="J38" s="12">
        <f t="shared" ref="J38:J50" si="6">D38*I38/100</f>
        <v>0</v>
      </c>
      <c r="K38" s="15">
        <f>D38*F38/3.415+D38*G38/3.415</f>
        <v>1233781.3177159592</v>
      </c>
      <c r="L38" s="14">
        <f>D38*H38*$H$2</f>
        <v>102.34961439999996</v>
      </c>
      <c r="M38" s="14">
        <f>D38*E38*$H$3</f>
        <v>1530.301913730659</v>
      </c>
      <c r="N38" s="14">
        <f>D38*E38*$H$4</f>
        <v>532.09385039313588</v>
      </c>
      <c r="O38" s="14">
        <f>D38*E38*$H$5</f>
        <v>0</v>
      </c>
      <c r="P38" s="14">
        <f>L38+M38</f>
        <v>1632.651528130659</v>
      </c>
      <c r="Q38" s="14">
        <f t="shared" ref="Q38:Q50" si="7">L38+N38</f>
        <v>634.44346479313583</v>
      </c>
      <c r="R38" s="14">
        <f>L38+O38</f>
        <v>102.34961439999996</v>
      </c>
      <c r="S38" s="43">
        <f t="shared" ref="S38:S50" si="8">J38*$K$3</f>
        <v>0</v>
      </c>
      <c r="T38" s="43">
        <f t="shared" ref="T38:T50" si="9">K38*$K$2</f>
        <v>123378.13177159592</v>
      </c>
      <c r="U38" s="44">
        <f>S38+T38</f>
        <v>123378.13177159592</v>
      </c>
    </row>
    <row r="39" spans="3:21" x14ac:dyDescent="0.4">
      <c r="C39" s="4" t="s">
        <v>60</v>
      </c>
      <c r="D39" s="57">
        <v>56175</v>
      </c>
      <c r="E39" s="57">
        <v>22.8</v>
      </c>
      <c r="F39" s="57">
        <v>5.0999999999999996</v>
      </c>
      <c r="G39" s="57">
        <v>0</v>
      </c>
      <c r="H39" s="57">
        <v>34</v>
      </c>
      <c r="I39" s="57">
        <v>30.2</v>
      </c>
      <c r="J39" s="4">
        <f t="shared" si="6"/>
        <v>16964.849999999999</v>
      </c>
      <c r="K39" s="7">
        <f>D39*F39/3.415+D39*G39/3.415</f>
        <v>83892.386530014643</v>
      </c>
      <c r="L39" s="19">
        <f>D39*H39*$H$2</f>
        <v>101.22735</v>
      </c>
      <c r="M39" s="20">
        <f t="shared" ref="M39:M50" si="10">D39*E39*$H$3</f>
        <v>244.70030797192913</v>
      </c>
      <c r="N39" s="20">
        <f t="shared" ref="N39:N50" si="11">D39*E39*$H$4</f>
        <v>85.083556318473271</v>
      </c>
      <c r="O39" s="20">
        <f t="shared" ref="O39:O50" si="12">D39*E39*$H$5</f>
        <v>0</v>
      </c>
      <c r="P39" s="8">
        <f t="shared" ref="P39:P50" si="13">L39+M39</f>
        <v>345.92765797192914</v>
      </c>
      <c r="Q39" s="8">
        <f t="shared" si="7"/>
        <v>186.31090631847326</v>
      </c>
      <c r="R39" s="8">
        <f t="shared" ref="R39:R50" si="14">L39+O39</f>
        <v>101.22735</v>
      </c>
      <c r="S39" s="38">
        <f t="shared" si="8"/>
        <v>12723.637499999999</v>
      </c>
      <c r="T39" s="38">
        <f t="shared" si="9"/>
        <v>8389.2386530014646</v>
      </c>
      <c r="U39" s="42">
        <f t="shared" ref="U39:U50" si="15">S39+T39</f>
        <v>21112.876153001464</v>
      </c>
    </row>
    <row r="40" spans="3:21" x14ac:dyDescent="0.4">
      <c r="C40" s="12" t="s">
        <v>61</v>
      </c>
      <c r="D40" s="58">
        <f>D39</f>
        <v>56175</v>
      </c>
      <c r="E40" s="59">
        <v>32.6</v>
      </c>
      <c r="F40" s="58">
        <v>3.3</v>
      </c>
      <c r="G40" s="59">
        <v>11.4</v>
      </c>
      <c r="H40" s="58">
        <f>H39-I39</f>
        <v>3.8000000000000007</v>
      </c>
      <c r="I40" s="58">
        <v>0</v>
      </c>
      <c r="J40" s="12">
        <f t="shared" si="6"/>
        <v>0</v>
      </c>
      <c r="K40" s="15">
        <f t="shared" ref="K40:K48" si="16">D40*F40/3.415+D40*G40/3.415</f>
        <v>241807.46705710102</v>
      </c>
      <c r="L40" s="14">
        <f>D40*H40*$H$2</f>
        <v>11.313645000000001</v>
      </c>
      <c r="M40" s="14">
        <f t="shared" si="10"/>
        <v>349.87851052126712</v>
      </c>
      <c r="N40" s="14">
        <f t="shared" si="11"/>
        <v>121.65455859571178</v>
      </c>
      <c r="O40" s="14">
        <f t="shared" si="12"/>
        <v>0</v>
      </c>
      <c r="P40" s="14">
        <f t="shared" si="13"/>
        <v>361.19215552126713</v>
      </c>
      <c r="Q40" s="14">
        <f t="shared" si="7"/>
        <v>132.96820359571177</v>
      </c>
      <c r="R40" s="14">
        <f t="shared" si="14"/>
        <v>11.313645000000001</v>
      </c>
      <c r="S40" s="43">
        <f t="shared" si="8"/>
        <v>0</v>
      </c>
      <c r="T40" s="43">
        <f t="shared" si="9"/>
        <v>24180.746705710102</v>
      </c>
      <c r="U40" s="44">
        <f t="shared" si="15"/>
        <v>24180.746705710102</v>
      </c>
    </row>
    <row r="41" spans="3:21" x14ac:dyDescent="0.4">
      <c r="C41" s="4" t="s">
        <v>62</v>
      </c>
      <c r="D41" s="57">
        <v>31278</v>
      </c>
      <c r="E41" s="57">
        <v>24.8</v>
      </c>
      <c r="F41" s="57">
        <v>4.2</v>
      </c>
      <c r="G41" s="57">
        <v>0</v>
      </c>
      <c r="H41" s="57">
        <v>36</v>
      </c>
      <c r="I41" s="57">
        <v>30.8</v>
      </c>
      <c r="J41" s="4">
        <f>D41*I41/100</f>
        <v>9633.6239999999998</v>
      </c>
      <c r="K41" s="7">
        <f>D41*F41/3.415+D41*G41/3.415</f>
        <v>38467.818448023427</v>
      </c>
      <c r="L41" s="4">
        <f t="shared" ref="L41:L50" si="17">D41*H41*$H$2</f>
        <v>59.678424</v>
      </c>
      <c r="M41" s="6">
        <f t="shared" si="10"/>
        <v>148.19967252406781</v>
      </c>
      <c r="N41" s="6">
        <f t="shared" si="11"/>
        <v>51.529788777492278</v>
      </c>
      <c r="O41" s="6">
        <f t="shared" si="12"/>
        <v>0</v>
      </c>
      <c r="P41" s="14">
        <f t="shared" ref="P41:P49" si="18">L41+M41</f>
        <v>207.87809652406781</v>
      </c>
      <c r="Q41" s="8">
        <f t="shared" si="7"/>
        <v>111.20821277749228</v>
      </c>
      <c r="R41" s="8">
        <f t="shared" si="14"/>
        <v>59.678424</v>
      </c>
      <c r="S41" s="38">
        <f t="shared" si="8"/>
        <v>7225.2179999999998</v>
      </c>
      <c r="T41" s="38">
        <f t="shared" si="9"/>
        <v>3846.7818448023427</v>
      </c>
      <c r="U41" s="42">
        <f t="shared" si="15"/>
        <v>11071.999844802343</v>
      </c>
    </row>
    <row r="42" spans="3:21" x14ac:dyDescent="0.4">
      <c r="C42" s="12" t="s">
        <v>63</v>
      </c>
      <c r="D42" s="58">
        <f>D41</f>
        <v>31278</v>
      </c>
      <c r="E42" s="59">
        <v>34.9</v>
      </c>
      <c r="F42" s="58">
        <v>2.7</v>
      </c>
      <c r="G42" s="59">
        <v>11.6</v>
      </c>
      <c r="H42" s="58">
        <f>H41-I41</f>
        <v>5.1999999999999993</v>
      </c>
      <c r="I42" s="58">
        <v>0</v>
      </c>
      <c r="J42" s="12">
        <f t="shared" si="6"/>
        <v>0</v>
      </c>
      <c r="K42" s="15">
        <f t="shared" si="16"/>
        <v>130973.76281112738</v>
      </c>
      <c r="L42" s="14">
        <f t="shared" si="17"/>
        <v>8.6202167999999997</v>
      </c>
      <c r="M42" s="14">
        <f t="shared" si="10"/>
        <v>208.55518431814377</v>
      </c>
      <c r="N42" s="14">
        <f t="shared" si="11"/>
        <v>72.515710819938718</v>
      </c>
      <c r="O42" s="14">
        <f t="shared" si="12"/>
        <v>0</v>
      </c>
      <c r="P42" s="14">
        <f t="shared" si="18"/>
        <v>217.17540111814378</v>
      </c>
      <c r="Q42" s="14">
        <f t="shared" si="7"/>
        <v>81.135927619938712</v>
      </c>
      <c r="R42" s="14">
        <f t="shared" si="14"/>
        <v>8.6202167999999997</v>
      </c>
      <c r="S42" s="43">
        <f t="shared" si="8"/>
        <v>0</v>
      </c>
      <c r="T42" s="43">
        <f t="shared" si="9"/>
        <v>13097.376281112738</v>
      </c>
      <c r="U42" s="44">
        <f t="shared" si="15"/>
        <v>13097.376281112738</v>
      </c>
    </row>
    <row r="43" spans="3:21" x14ac:dyDescent="0.4">
      <c r="C43" s="4" t="s">
        <v>64</v>
      </c>
      <c r="D43" s="57">
        <v>40824</v>
      </c>
      <c r="E43" s="57">
        <v>32.1</v>
      </c>
      <c r="F43" s="57">
        <v>6.3</v>
      </c>
      <c r="G43" s="57">
        <v>0</v>
      </c>
      <c r="H43" s="57">
        <v>39.299999999999997</v>
      </c>
      <c r="I43" s="57">
        <v>34.299999999999997</v>
      </c>
      <c r="J43" s="4">
        <f t="shared" si="6"/>
        <v>14002.632</v>
      </c>
      <c r="K43" s="7">
        <f>D43*F43/3.415+D43*G43/3.415</f>
        <v>75312.210834553436</v>
      </c>
      <c r="L43" s="4">
        <f>D43*H43*$H$2</f>
        <v>85.032309600000005</v>
      </c>
      <c r="M43" s="6">
        <f t="shared" si="10"/>
        <v>250.36705194601595</v>
      </c>
      <c r="N43" s="6">
        <f t="shared" si="11"/>
        <v>87.05391235953266</v>
      </c>
      <c r="O43" s="6">
        <f t="shared" si="12"/>
        <v>0</v>
      </c>
      <c r="P43" s="14">
        <f t="shared" si="18"/>
        <v>335.39936154601594</v>
      </c>
      <c r="Q43" s="8">
        <f t="shared" si="7"/>
        <v>172.08622195953268</v>
      </c>
      <c r="R43" s="8">
        <f t="shared" si="14"/>
        <v>85.032309600000005</v>
      </c>
      <c r="S43" s="38">
        <f t="shared" si="8"/>
        <v>10501.974</v>
      </c>
      <c r="T43" s="38">
        <f t="shared" si="9"/>
        <v>7531.2210834553443</v>
      </c>
      <c r="U43" s="42">
        <f t="shared" si="15"/>
        <v>18033.195083455343</v>
      </c>
    </row>
    <row r="44" spans="3:21" x14ac:dyDescent="0.4">
      <c r="C44" s="12" t="s">
        <v>65</v>
      </c>
      <c r="D44" s="58">
        <f>D43</f>
        <v>40824</v>
      </c>
      <c r="E44" s="59">
        <v>42.8</v>
      </c>
      <c r="F44" s="58">
        <v>4</v>
      </c>
      <c r="G44" s="59">
        <v>13</v>
      </c>
      <c r="H44" s="58">
        <f>H43-I43</f>
        <v>5</v>
      </c>
      <c r="I44" s="58">
        <v>0</v>
      </c>
      <c r="J44" s="12">
        <f t="shared" si="6"/>
        <v>0</v>
      </c>
      <c r="K44" s="15">
        <f>D44*F44/3.415+D44*G44/3.415</f>
        <v>203223.4260614934</v>
      </c>
      <c r="L44" s="14">
        <f t="shared" si="17"/>
        <v>10.81836</v>
      </c>
      <c r="M44" s="14">
        <f t="shared" si="10"/>
        <v>333.82273592802119</v>
      </c>
      <c r="N44" s="14">
        <f t="shared" si="11"/>
        <v>116.07188314604353</v>
      </c>
      <c r="O44" s="14">
        <f t="shared" si="12"/>
        <v>0</v>
      </c>
      <c r="P44" s="14">
        <f t="shared" si="18"/>
        <v>344.64109592802117</v>
      </c>
      <c r="Q44" s="14">
        <f t="shared" si="7"/>
        <v>126.89024314604353</v>
      </c>
      <c r="R44" s="14">
        <f t="shared" si="14"/>
        <v>10.81836</v>
      </c>
      <c r="S44" s="43">
        <f t="shared" si="8"/>
        <v>0</v>
      </c>
      <c r="T44" s="43">
        <f t="shared" si="9"/>
        <v>20322.342606149341</v>
      </c>
      <c r="U44" s="44">
        <f t="shared" si="15"/>
        <v>20322.342606149341</v>
      </c>
    </row>
    <row r="45" spans="3:21" x14ac:dyDescent="0.4">
      <c r="C45" s="4" t="s">
        <v>66</v>
      </c>
      <c r="D45" s="57">
        <v>42604</v>
      </c>
      <c r="E45" s="57">
        <v>38</v>
      </c>
      <c r="F45" s="57">
        <v>2.4</v>
      </c>
      <c r="G45" s="57">
        <v>0</v>
      </c>
      <c r="H45" s="57">
        <v>34.299999999999997</v>
      </c>
      <c r="I45" s="57">
        <v>29.3</v>
      </c>
      <c r="J45" s="4">
        <f>D45*I45/100</f>
        <v>12482.972</v>
      </c>
      <c r="K45" s="7">
        <f>D45*F45/3.415+D45*G45/3.415</f>
        <v>29941.317715959001</v>
      </c>
      <c r="L45" s="4">
        <f t="shared" si="17"/>
        <v>77.449811600000004</v>
      </c>
      <c r="M45" s="6">
        <f t="shared" si="10"/>
        <v>309.30757812894433</v>
      </c>
      <c r="N45" s="6">
        <f t="shared" si="11"/>
        <v>107.54783662341596</v>
      </c>
      <c r="O45" s="6">
        <f t="shared" si="12"/>
        <v>0</v>
      </c>
      <c r="P45" s="14">
        <f t="shared" si="18"/>
        <v>386.7573897289443</v>
      </c>
      <c r="Q45" s="8">
        <f t="shared" si="7"/>
        <v>184.99764822341598</v>
      </c>
      <c r="R45" s="8">
        <f t="shared" si="14"/>
        <v>77.449811600000004</v>
      </c>
      <c r="S45" s="38">
        <f t="shared" si="8"/>
        <v>9362.2289999999994</v>
      </c>
      <c r="T45" s="38">
        <f t="shared" si="9"/>
        <v>2994.1317715959003</v>
      </c>
      <c r="U45" s="42">
        <f t="shared" si="15"/>
        <v>12356.360771595901</v>
      </c>
    </row>
    <row r="46" spans="3:21" x14ac:dyDescent="0.4">
      <c r="C46" s="12" t="s">
        <v>67</v>
      </c>
      <c r="D46" s="58">
        <f>D45</f>
        <v>42604</v>
      </c>
      <c r="E46" s="59">
        <v>48.2</v>
      </c>
      <c r="F46" s="58">
        <v>1.6</v>
      </c>
      <c r="G46" s="59">
        <v>11.1</v>
      </c>
      <c r="H46" s="58">
        <f>H45-I45</f>
        <v>4.9999999999999964</v>
      </c>
      <c r="I46" s="58">
        <v>0</v>
      </c>
      <c r="J46" s="12">
        <f t="shared" si="6"/>
        <v>0</v>
      </c>
      <c r="K46" s="15">
        <f t="shared" si="16"/>
        <v>158439.4729136164</v>
      </c>
      <c r="L46" s="14">
        <f t="shared" si="17"/>
        <v>11.290059999999993</v>
      </c>
      <c r="M46" s="14">
        <f t="shared" si="10"/>
        <v>392.3322438372399</v>
      </c>
      <c r="N46" s="14">
        <f t="shared" si="11"/>
        <v>136.41594013812235</v>
      </c>
      <c r="O46" s="14">
        <f t="shared" si="12"/>
        <v>0</v>
      </c>
      <c r="P46" s="14">
        <f t="shared" si="18"/>
        <v>403.62230383723988</v>
      </c>
      <c r="Q46" s="14">
        <f t="shared" si="7"/>
        <v>147.70600013812233</v>
      </c>
      <c r="R46" s="14">
        <f t="shared" si="14"/>
        <v>11.290059999999993</v>
      </c>
      <c r="S46" s="43">
        <f t="shared" si="8"/>
        <v>0</v>
      </c>
      <c r="T46" s="43">
        <f t="shared" si="9"/>
        <v>15843.947291361641</v>
      </c>
      <c r="U46" s="44">
        <f t="shared" si="15"/>
        <v>15843.947291361641</v>
      </c>
    </row>
    <row r="47" spans="3:21" x14ac:dyDescent="0.4">
      <c r="C47" s="4" t="s">
        <v>68</v>
      </c>
      <c r="D47" s="57">
        <v>67506</v>
      </c>
      <c r="E47" s="57">
        <v>34.4</v>
      </c>
      <c r="F47" s="57">
        <v>0</v>
      </c>
      <c r="G47" s="57">
        <v>0</v>
      </c>
      <c r="H47" s="57">
        <v>40.700000000000003</v>
      </c>
      <c r="I47" s="57">
        <v>35.700000000000003</v>
      </c>
      <c r="J47" s="4">
        <f t="shared" si="6"/>
        <v>24099.642000000003</v>
      </c>
      <c r="K47" s="7">
        <f>D47*F47/3.415+D47*G47/3.415</f>
        <v>0</v>
      </c>
      <c r="L47" s="4">
        <f t="shared" si="17"/>
        <v>145.61719260000001</v>
      </c>
      <c r="M47" s="6">
        <f t="shared" si="10"/>
        <v>443.66728445286492</v>
      </c>
      <c r="N47" s="6">
        <f t="shared" si="11"/>
        <v>154.26539793215051</v>
      </c>
      <c r="O47" s="6">
        <f t="shared" si="12"/>
        <v>0</v>
      </c>
      <c r="P47" s="14">
        <f t="shared" si="18"/>
        <v>589.28447705286499</v>
      </c>
      <c r="Q47" s="8">
        <f t="shared" si="7"/>
        <v>299.88259053215052</v>
      </c>
      <c r="R47" s="8">
        <f t="shared" si="14"/>
        <v>145.61719260000001</v>
      </c>
      <c r="S47" s="38">
        <f t="shared" si="8"/>
        <v>18074.731500000002</v>
      </c>
      <c r="T47" s="38">
        <f t="shared" si="9"/>
        <v>0</v>
      </c>
      <c r="U47" s="42">
        <f t="shared" si="15"/>
        <v>18074.731500000002</v>
      </c>
    </row>
    <row r="48" spans="3:21" x14ac:dyDescent="0.4">
      <c r="C48" s="12" t="s">
        <v>69</v>
      </c>
      <c r="D48" s="58">
        <f>D47</f>
        <v>67506</v>
      </c>
      <c r="E48" s="59">
        <f>E47-(F47-F48)+G48</f>
        <v>47.9</v>
      </c>
      <c r="F48" s="58">
        <f>F47*0.5</f>
        <v>0</v>
      </c>
      <c r="G48" s="59">
        <v>13.5</v>
      </c>
      <c r="H48" s="58">
        <f>H47-I47</f>
        <v>5</v>
      </c>
      <c r="I48" s="58">
        <v>0</v>
      </c>
      <c r="J48" s="45">
        <f t="shared" si="6"/>
        <v>0</v>
      </c>
      <c r="K48" s="15">
        <f t="shared" si="16"/>
        <v>266861.20058565156</v>
      </c>
      <c r="L48" s="14">
        <f t="shared" si="17"/>
        <v>17.889089999999999</v>
      </c>
      <c r="M48" s="14">
        <f t="shared" si="10"/>
        <v>617.78089899105316</v>
      </c>
      <c r="N48" s="14">
        <f t="shared" si="11"/>
        <v>214.80559770203516</v>
      </c>
      <c r="O48" s="14">
        <f t="shared" si="12"/>
        <v>0</v>
      </c>
      <c r="P48" s="14">
        <f t="shared" si="18"/>
        <v>635.66998899105317</v>
      </c>
      <c r="Q48" s="14">
        <f t="shared" si="7"/>
        <v>232.69468770203517</v>
      </c>
      <c r="R48" s="14">
        <f t="shared" si="14"/>
        <v>17.889089999999999</v>
      </c>
      <c r="S48" s="43">
        <f t="shared" si="8"/>
        <v>0</v>
      </c>
      <c r="T48" s="43">
        <f t="shared" si="9"/>
        <v>26686.120058565157</v>
      </c>
      <c r="U48" s="44">
        <f t="shared" si="15"/>
        <v>26686.120058565157</v>
      </c>
    </row>
    <row r="49" spans="3:22" x14ac:dyDescent="0.4">
      <c r="C49" s="4" t="s">
        <v>70</v>
      </c>
      <c r="D49" s="57">
        <v>4454</v>
      </c>
      <c r="E49" s="57">
        <v>35.799999999999997</v>
      </c>
      <c r="F49" s="57">
        <v>9.9</v>
      </c>
      <c r="G49" s="57">
        <v>0</v>
      </c>
      <c r="H49" s="57">
        <v>73.7</v>
      </c>
      <c r="I49" s="57">
        <v>70.8</v>
      </c>
      <c r="J49" s="4">
        <f t="shared" si="6"/>
        <v>3153.4320000000002</v>
      </c>
      <c r="K49" s="7">
        <f>D49*F49/3.415+D49*G49/3.415</f>
        <v>12912.035139092239</v>
      </c>
      <c r="L49" s="4">
        <f t="shared" si="17"/>
        <v>17.397769400000001</v>
      </c>
      <c r="M49" s="6">
        <f t="shared" si="10"/>
        <v>30.46420345810758</v>
      </c>
      <c r="N49" s="6">
        <f t="shared" si="11"/>
        <v>10.592560312276627</v>
      </c>
      <c r="O49" s="6">
        <f t="shared" si="12"/>
        <v>0</v>
      </c>
      <c r="P49" s="14">
        <f t="shared" si="18"/>
        <v>47.861972858107578</v>
      </c>
      <c r="Q49" s="8">
        <f t="shared" si="7"/>
        <v>27.990329712276626</v>
      </c>
      <c r="R49" s="8">
        <f t="shared" si="14"/>
        <v>17.397769400000001</v>
      </c>
      <c r="S49" s="38">
        <f t="shared" si="8"/>
        <v>2365.0740000000001</v>
      </c>
      <c r="T49" s="38">
        <f t="shared" si="9"/>
        <v>1291.2035139092241</v>
      </c>
      <c r="U49" s="42">
        <f t="shared" si="15"/>
        <v>3656.2775139092241</v>
      </c>
    </row>
    <row r="50" spans="3:22" x14ac:dyDescent="0.4">
      <c r="C50" s="12" t="s">
        <v>70</v>
      </c>
      <c r="D50" s="58">
        <f>D49</f>
        <v>4454</v>
      </c>
      <c r="E50" s="59">
        <v>48.9</v>
      </c>
      <c r="F50" s="58">
        <v>7</v>
      </c>
      <c r="G50" s="59">
        <v>17.100000000000001</v>
      </c>
      <c r="H50" s="58">
        <f>H49-I49</f>
        <v>2.9000000000000057</v>
      </c>
      <c r="I50" s="58">
        <v>0</v>
      </c>
      <c r="J50" s="15">
        <f t="shared" si="6"/>
        <v>0</v>
      </c>
      <c r="K50" s="15">
        <f t="shared" ref="K50" si="19">D50*F50/3.415+D50*G50/3.415</f>
        <v>31432.32796486091</v>
      </c>
      <c r="L50" s="14">
        <f t="shared" si="17"/>
        <v>0.6845798000000014</v>
      </c>
      <c r="M50" s="14">
        <f t="shared" si="10"/>
        <v>41.611719248644157</v>
      </c>
      <c r="N50" s="14">
        <f t="shared" si="11"/>
        <v>14.468608918165561</v>
      </c>
      <c r="O50" s="14">
        <f t="shared" si="12"/>
        <v>0</v>
      </c>
      <c r="P50" s="14">
        <f t="shared" si="13"/>
        <v>42.296299048644158</v>
      </c>
      <c r="Q50" s="14">
        <f t="shared" si="7"/>
        <v>15.153188718165563</v>
      </c>
      <c r="R50" s="14">
        <f t="shared" si="14"/>
        <v>0.6845798000000014</v>
      </c>
      <c r="S50" s="43">
        <f t="shared" si="8"/>
        <v>0</v>
      </c>
      <c r="T50" s="43">
        <f t="shared" si="9"/>
        <v>3143.232796486091</v>
      </c>
      <c r="U50" s="44">
        <f t="shared" si="15"/>
        <v>3143.232796486091</v>
      </c>
    </row>
    <row r="51" spans="3:22" x14ac:dyDescent="0.4">
      <c r="O51" s="17"/>
      <c r="P51" s="17"/>
      <c r="Q51" s="17"/>
      <c r="R51" s="17"/>
    </row>
    <row r="52" spans="3:22" x14ac:dyDescent="0.4">
      <c r="O52" s="19"/>
      <c r="P52" s="19"/>
      <c r="Q52" s="19"/>
      <c r="R52" s="19"/>
    </row>
    <row r="53" spans="3:22" ht="15.9" x14ac:dyDescent="0.45">
      <c r="K53" s="32" t="s">
        <v>71</v>
      </c>
      <c r="N53" s="32"/>
      <c r="O53" s="28" t="s">
        <v>72</v>
      </c>
      <c r="P53" s="37">
        <f t="shared" ref="P53:R54" si="20">P37+P39+P41+P43+P45+P47+P49</f>
        <v>4068.2332823695137</v>
      </c>
      <c r="Q53" s="37">
        <f t="shared" si="20"/>
        <v>2355.4426852122092</v>
      </c>
      <c r="R53" s="37">
        <f t="shared" si="20"/>
        <v>1442.4413007999999</v>
      </c>
      <c r="S53" t="s">
        <v>73</v>
      </c>
      <c r="U53" s="56">
        <f>U37+U39+U41+U43+U45+U47+U49</f>
        <v>252662.45215373352</v>
      </c>
      <c r="V53" t="s">
        <v>74</v>
      </c>
    </row>
    <row r="54" spans="3:22" ht="15.9" x14ac:dyDescent="0.45">
      <c r="M54" s="32"/>
      <c r="N54" s="32"/>
      <c r="O54" s="28" t="s">
        <v>75</v>
      </c>
      <c r="P54" s="37">
        <f t="shared" si="20"/>
        <v>3637.2487725750279</v>
      </c>
      <c r="Q54" s="37">
        <f t="shared" si="20"/>
        <v>1370.9917157131531</v>
      </c>
      <c r="R54" s="37">
        <f t="shared" si="20"/>
        <v>162.96556599999994</v>
      </c>
      <c r="S54" t="s">
        <v>73</v>
      </c>
      <c r="U54" s="56">
        <f>U38+U40+U42+U44+U46+U48+U50</f>
        <v>226651.89751098101</v>
      </c>
      <c r="V54" t="s">
        <v>74</v>
      </c>
    </row>
    <row r="55" spans="3:22" x14ac:dyDescent="0.4">
      <c r="R55" t="s">
        <v>76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CEA8D-AF5A-4CF7-88A0-0E20395969D4}">
  <dimension ref="C1:V70"/>
  <sheetViews>
    <sheetView tabSelected="1" zoomScale="69" zoomScaleNormal="124" workbookViewId="0">
      <selection activeCell="U64" sqref="U64"/>
    </sheetView>
  </sheetViews>
  <sheetFormatPr defaultRowHeight="14.6" x14ac:dyDescent="0.4"/>
  <cols>
    <col min="3" max="3" width="23" customWidth="1"/>
    <col min="4" max="5" width="12" customWidth="1"/>
    <col min="6" max="6" width="14.53515625" customWidth="1"/>
    <col min="7" max="8" width="12" customWidth="1"/>
    <col min="9" max="9" width="13.3828125" customWidth="1"/>
    <col min="10" max="10" width="13" customWidth="1"/>
    <col min="11" max="11" width="12.53515625" customWidth="1"/>
    <col min="12" max="12" width="12" bestFit="1" customWidth="1"/>
    <col min="13" max="16" width="9.3046875" bestFit="1" customWidth="1"/>
    <col min="17" max="17" width="12" bestFit="1" customWidth="1"/>
    <col min="18" max="18" width="9.3046875" bestFit="1" customWidth="1"/>
    <col min="19" max="19" width="10.3828125" customWidth="1"/>
    <col min="20" max="20" width="10.3046875" customWidth="1"/>
    <col min="21" max="22" width="12" customWidth="1"/>
  </cols>
  <sheetData>
    <row r="1" spans="3:18" x14ac:dyDescent="0.4">
      <c r="G1" t="s">
        <v>0</v>
      </c>
      <c r="H1" t="s">
        <v>1</v>
      </c>
    </row>
    <row r="2" spans="3:18" x14ac:dyDescent="0.4">
      <c r="E2" t="s">
        <v>2</v>
      </c>
      <c r="F2" s="2" t="s">
        <v>3</v>
      </c>
      <c r="G2" s="10" t="s">
        <v>4</v>
      </c>
      <c r="H2">
        <v>5.3000000000000001E-5</v>
      </c>
      <c r="J2" t="s">
        <v>5</v>
      </c>
      <c r="K2" s="40">
        <v>0.1</v>
      </c>
      <c r="P2" s="48" t="s">
        <v>6</v>
      </c>
      <c r="Q2" s="48"/>
      <c r="R2" s="48"/>
    </row>
    <row r="3" spans="3:18" x14ac:dyDescent="0.4">
      <c r="F3" s="2" t="s">
        <v>7</v>
      </c>
      <c r="G3" s="11">
        <v>1438</v>
      </c>
      <c r="H3" s="9">
        <f>G3/2204/1000/3.415</f>
        <v>1.9105419933941484E-4</v>
      </c>
      <c r="J3" t="s">
        <v>8</v>
      </c>
      <c r="K3" s="40">
        <v>0.75</v>
      </c>
      <c r="P3" t="s">
        <v>9</v>
      </c>
    </row>
    <row r="4" spans="3:18" x14ac:dyDescent="0.4">
      <c r="F4" s="2" t="s">
        <v>10</v>
      </c>
      <c r="G4" s="11">
        <v>500</v>
      </c>
      <c r="H4" s="9">
        <f t="shared" ref="H4:H5" si="0">G4/2204/1000/3.415</f>
        <v>6.6430528282133112E-5</v>
      </c>
      <c r="P4" t="s">
        <v>11</v>
      </c>
    </row>
    <row r="5" spans="3:18" x14ac:dyDescent="0.4">
      <c r="F5" s="2" t="s">
        <v>12</v>
      </c>
      <c r="G5">
        <v>0</v>
      </c>
      <c r="H5" s="9">
        <f t="shared" si="0"/>
        <v>0</v>
      </c>
      <c r="J5" t="s">
        <v>13</v>
      </c>
      <c r="K5" s="11">
        <v>3</v>
      </c>
    </row>
    <row r="6" spans="3:18" x14ac:dyDescent="0.4">
      <c r="J6" t="s">
        <v>14</v>
      </c>
      <c r="K6" s="11">
        <v>4</v>
      </c>
    </row>
    <row r="8" spans="3:18" s="1" customFormat="1" ht="41.15" x14ac:dyDescent="0.4">
      <c r="C8" s="3" t="s">
        <v>15</v>
      </c>
      <c r="D8" s="3" t="s">
        <v>16</v>
      </c>
      <c r="E8" s="3" t="s">
        <v>17</v>
      </c>
      <c r="F8" s="3" t="s">
        <v>18</v>
      </c>
      <c r="G8" s="3" t="s">
        <v>19</v>
      </c>
      <c r="H8" s="3" t="s">
        <v>20</v>
      </c>
      <c r="I8" s="3" t="s">
        <v>21</v>
      </c>
      <c r="J8" s="3" t="s">
        <v>22</v>
      </c>
      <c r="K8" s="3" t="s">
        <v>23</v>
      </c>
      <c r="L8" s="3" t="s">
        <v>24</v>
      </c>
      <c r="M8" s="1" t="s">
        <v>25</v>
      </c>
      <c r="N8" s="1" t="s">
        <v>26</v>
      </c>
    </row>
    <row r="9" spans="3:18" x14ac:dyDescent="0.4">
      <c r="C9" s="4" t="s">
        <v>27</v>
      </c>
      <c r="D9" s="13" t="s">
        <v>4</v>
      </c>
      <c r="E9" s="4">
        <v>45</v>
      </c>
      <c r="F9" s="4">
        <v>604</v>
      </c>
      <c r="G9" s="5">
        <f>E9*100*$H$2</f>
        <v>0.23849999999999999</v>
      </c>
      <c r="H9" s="5">
        <f>F9*3.415*$H$3</f>
        <v>0.39407985480943736</v>
      </c>
      <c r="I9" s="5">
        <f>F9*3.415*$H$4</f>
        <v>0.13702359346642468</v>
      </c>
      <c r="J9" s="5">
        <f>F9*3.415*$H$5</f>
        <v>0</v>
      </c>
      <c r="K9" s="38">
        <f>E9*$K$3</f>
        <v>33.75</v>
      </c>
      <c r="L9" s="38">
        <f>F9*$K$2</f>
        <v>60.400000000000006</v>
      </c>
      <c r="M9">
        <f>E9*100</f>
        <v>4500</v>
      </c>
      <c r="N9">
        <f>F9*3.415</f>
        <v>2062.66</v>
      </c>
    </row>
    <row r="10" spans="3:18" x14ac:dyDescent="0.4">
      <c r="C10" s="4" t="s">
        <v>28</v>
      </c>
      <c r="D10" s="13" t="s">
        <v>4</v>
      </c>
      <c r="E10" s="4">
        <f>26.5+8.8*3</f>
        <v>52.900000000000006</v>
      </c>
      <c r="F10" s="4">
        <f>418+139*3</f>
        <v>835</v>
      </c>
      <c r="G10" s="5">
        <f>E10*100*$H$2</f>
        <v>0.28037000000000006</v>
      </c>
      <c r="H10" s="5">
        <f>F10*3.415*$H$3</f>
        <v>0.5447958257713249</v>
      </c>
      <c r="I10" s="5">
        <f>F10*3.415*$H$4</f>
        <v>0.18942831215970962</v>
      </c>
      <c r="J10" s="5">
        <f>F10*3.415*$H$5</f>
        <v>0</v>
      </c>
      <c r="K10" s="38">
        <f t="shared" ref="K10:K12" si="1">E10*$K$3</f>
        <v>39.675000000000004</v>
      </c>
      <c r="L10" s="38">
        <f t="shared" ref="L10:L13" si="2">F10*$K$2</f>
        <v>83.5</v>
      </c>
      <c r="M10">
        <f>E10*100</f>
        <v>5290.0000000000009</v>
      </c>
      <c r="N10">
        <f>F10*3.415</f>
        <v>2851.5250000000001</v>
      </c>
    </row>
    <row r="11" spans="3:18" x14ac:dyDescent="0.4">
      <c r="C11" s="4" t="s">
        <v>29</v>
      </c>
      <c r="D11" s="13" t="s">
        <v>4</v>
      </c>
      <c r="E11" s="13" t="s">
        <v>4</v>
      </c>
      <c r="F11" s="7">
        <f>F10/3</f>
        <v>278.33333333333331</v>
      </c>
      <c r="G11" s="13" t="s">
        <v>4</v>
      </c>
      <c r="H11" s="5">
        <f>F11*3.415*$H$3</f>
        <v>0.18159860859044163</v>
      </c>
      <c r="I11" s="5">
        <f>F11*3.415*$H$4</f>
        <v>6.3142770719903207E-2</v>
      </c>
      <c r="J11" s="5">
        <f>F11*3.415*$H$5</f>
        <v>0</v>
      </c>
      <c r="K11" s="38" t="s">
        <v>4</v>
      </c>
      <c r="L11" s="38">
        <f t="shared" si="2"/>
        <v>27.833333333333332</v>
      </c>
    </row>
    <row r="12" spans="3:18" x14ac:dyDescent="0.4">
      <c r="C12" s="4" t="s">
        <v>30</v>
      </c>
      <c r="D12" s="16">
        <v>10</v>
      </c>
      <c r="E12" s="4">
        <f>D37*D12/100</f>
        <v>21944.6</v>
      </c>
      <c r="F12" s="7">
        <f>D37*D12/3.415</f>
        <v>642594.43631039537</v>
      </c>
      <c r="G12" s="5">
        <f>E12*100*$H$2</f>
        <v>116.30638</v>
      </c>
      <c r="H12" s="5">
        <f t="shared" ref="H12:H13" si="3">F12*3.415*$H$3</f>
        <v>419.26079828237226</v>
      </c>
      <c r="I12" s="5">
        <f t="shared" ref="I12:I13" si="4">F12*3.415*$H$4</f>
        <v>145.77913709400983</v>
      </c>
      <c r="J12" s="5">
        <f t="shared" ref="J12:J13" si="5">F12*3.415*$H$5</f>
        <v>0</v>
      </c>
      <c r="K12" s="38">
        <f t="shared" si="1"/>
        <v>16458.449999999997</v>
      </c>
      <c r="L12" s="38">
        <f t="shared" si="2"/>
        <v>64259.443631039539</v>
      </c>
    </row>
    <row r="13" spans="3:18" x14ac:dyDescent="0.4">
      <c r="C13" s="4" t="s">
        <v>31</v>
      </c>
      <c r="D13" s="6">
        <f>D12/$K$5</f>
        <v>3.3333333333333335</v>
      </c>
      <c r="E13" s="13" t="s">
        <v>4</v>
      </c>
      <c r="F13" s="7">
        <f>D37*D13/3.415</f>
        <v>214198.14543679846</v>
      </c>
      <c r="G13" s="13" t="s">
        <v>4</v>
      </c>
      <c r="H13" s="5">
        <f t="shared" si="3"/>
        <v>139.75359942745743</v>
      </c>
      <c r="I13" s="5">
        <f t="shared" si="4"/>
        <v>48.59304569800328</v>
      </c>
      <c r="J13" s="5">
        <f t="shared" si="5"/>
        <v>0</v>
      </c>
      <c r="K13" s="38" t="s">
        <v>4</v>
      </c>
      <c r="L13" s="38">
        <f t="shared" si="2"/>
        <v>21419.814543679848</v>
      </c>
    </row>
    <row r="14" spans="3:18" ht="6.75" customHeight="1" x14ac:dyDescent="0.4">
      <c r="C14" s="21"/>
      <c r="D14" s="22"/>
      <c r="E14" s="22"/>
      <c r="F14" s="22"/>
      <c r="G14" s="22"/>
      <c r="H14" s="22"/>
      <c r="I14" s="22"/>
      <c r="J14" s="23"/>
      <c r="K14" s="41"/>
      <c r="L14" s="41"/>
    </row>
    <row r="15" spans="3:18" ht="15.9" x14ac:dyDescent="0.45">
      <c r="C15" s="25" t="s">
        <v>32</v>
      </c>
      <c r="D15" s="26"/>
      <c r="E15" s="27"/>
      <c r="F15" s="28" t="s">
        <v>33</v>
      </c>
      <c r="G15" s="46">
        <f>(G9+G10+G12)*C16</f>
        <v>30608.215500000002</v>
      </c>
      <c r="H15" s="30" t="s">
        <v>4</v>
      </c>
      <c r="I15" s="30" t="s">
        <v>4</v>
      </c>
      <c r="J15" s="30" t="s">
        <v>4</v>
      </c>
      <c r="K15" s="39">
        <f>(K9+K10+K12)*$C$16</f>
        <v>4331351.2499999991</v>
      </c>
      <c r="L15" s="24"/>
    </row>
    <row r="16" spans="3:18" ht="15.9" x14ac:dyDescent="0.45">
      <c r="C16" s="31">
        <v>262</v>
      </c>
      <c r="D16" s="32" t="s">
        <v>34</v>
      </c>
      <c r="E16" s="33"/>
      <c r="F16" s="28" t="s">
        <v>35</v>
      </c>
      <c r="G16" s="30" t="s">
        <v>4</v>
      </c>
      <c r="H16" s="29">
        <f>(H9+H10+H12)*$C$16</f>
        <v>110092.31457829369</v>
      </c>
      <c r="I16" s="29">
        <f>(I9+I10+I12)*$C$16</f>
        <v>38279.664317904622</v>
      </c>
      <c r="J16" s="29">
        <f>(J9+J10+J12)*$C$16</f>
        <v>0</v>
      </c>
      <c r="K16" s="30" t="s">
        <v>4</v>
      </c>
      <c r="L16" s="39">
        <f>(L12+L10)*$C$16</f>
        <v>16857851.231332358</v>
      </c>
    </row>
    <row r="17" spans="3:13" ht="15.9" x14ac:dyDescent="0.45">
      <c r="C17" s="34"/>
      <c r="D17" s="35"/>
      <c r="E17" s="36"/>
      <c r="F17" s="28" t="s">
        <v>36</v>
      </c>
      <c r="G17" s="30" t="s">
        <v>4</v>
      </c>
      <c r="H17" s="46">
        <f>(H9+H11+H13)*$C$16</f>
        <v>36766.27080740461</v>
      </c>
      <c r="I17" s="46">
        <f>(I9+I11+I13)*$C$16</f>
        <v>12783.821560293678</v>
      </c>
      <c r="J17" s="46">
        <f>(J9+J11+J13)*$C$16</f>
        <v>0</v>
      </c>
      <c r="K17" s="30" t="s">
        <v>4</v>
      </c>
      <c r="L17" s="39">
        <f>(L13+L11)*$C$16</f>
        <v>5619283.743777453</v>
      </c>
    </row>
    <row r="19" spans="3:13" x14ac:dyDescent="0.4">
      <c r="G19" s="47" t="s">
        <v>37</v>
      </c>
      <c r="H19" s="47"/>
      <c r="I19" s="47"/>
      <c r="J19" s="47"/>
      <c r="K19" s="47"/>
      <c r="L19" s="47"/>
      <c r="M19" s="47"/>
    </row>
    <row r="21" spans="3:13" x14ac:dyDescent="0.4">
      <c r="G21" s="2" t="str">
        <f>F15</f>
        <v>Current (gas)</v>
      </c>
      <c r="H21" s="49">
        <f>G15</f>
        <v>30608.215500000002</v>
      </c>
    </row>
    <row r="22" spans="3:13" x14ac:dyDescent="0.4">
      <c r="G22" s="2" t="s">
        <v>38</v>
      </c>
      <c r="H22" s="49">
        <f>H17</f>
        <v>36766.27080740461</v>
      </c>
    </row>
    <row r="23" spans="3:13" x14ac:dyDescent="0.4">
      <c r="G23" s="2" t="s">
        <v>39</v>
      </c>
      <c r="H23" s="49">
        <f>I17</f>
        <v>12783.821560293678</v>
      </c>
    </row>
    <row r="24" spans="3:13" x14ac:dyDescent="0.4">
      <c r="G24" s="2" t="s">
        <v>40</v>
      </c>
      <c r="H24" s="49">
        <f>J17</f>
        <v>0</v>
      </c>
    </row>
    <row r="34" spans="3:18" ht="15.9" x14ac:dyDescent="0.45">
      <c r="C34" s="32" t="s">
        <v>41</v>
      </c>
    </row>
    <row r="36" spans="3:18" ht="67.75" x14ac:dyDescent="0.4">
      <c r="C36" s="3" t="s">
        <v>42</v>
      </c>
      <c r="D36" s="3" t="s">
        <v>43</v>
      </c>
      <c r="E36" s="3" t="s">
        <v>44</v>
      </c>
      <c r="F36" s="3" t="s">
        <v>45</v>
      </c>
      <c r="G36" s="3" t="s">
        <v>46</v>
      </c>
      <c r="H36" s="3" t="s">
        <v>47</v>
      </c>
      <c r="I36" s="3" t="s">
        <v>48</v>
      </c>
      <c r="J36" s="3" t="s">
        <v>49</v>
      </c>
      <c r="K36" s="3" t="s">
        <v>50</v>
      </c>
      <c r="L36" s="3" t="s">
        <v>19</v>
      </c>
      <c r="M36" s="3" t="s">
        <v>20</v>
      </c>
      <c r="N36" s="3" t="s">
        <v>21</v>
      </c>
      <c r="O36" s="3" t="s">
        <v>51</v>
      </c>
      <c r="P36" s="3" t="s">
        <v>52</v>
      </c>
      <c r="Q36" s="3" t="s">
        <v>53</v>
      </c>
      <c r="R36" s="3" t="s">
        <v>54</v>
      </c>
    </row>
    <row r="37" spans="3:18" x14ac:dyDescent="0.4">
      <c r="C37" s="4" t="s">
        <v>114</v>
      </c>
      <c r="D37" s="64">
        <v>219446</v>
      </c>
      <c r="E37" s="64">
        <v>28.6</v>
      </c>
      <c r="F37" s="64">
        <v>7.4</v>
      </c>
      <c r="G37" s="64">
        <v>0</v>
      </c>
      <c r="H37" s="64">
        <f>73.4+8.8</f>
        <v>82.2</v>
      </c>
      <c r="I37" s="64">
        <f>73.4</f>
        <v>73.400000000000006</v>
      </c>
      <c r="J37" s="4">
        <f>D37*I37/100</f>
        <v>161073.364</v>
      </c>
      <c r="K37" s="7">
        <f>D37*F37/3.415+D37*G37/3.415</f>
        <v>475519.88286969258</v>
      </c>
      <c r="L37" s="17">
        <f>D37*H37*$H$2</f>
        <v>956.03844359999994</v>
      </c>
      <c r="M37" s="18">
        <f>D37*E37*$H$3</f>
        <v>1199.0858830875848</v>
      </c>
      <c r="N37" s="18">
        <f>D37*E37*$H$4</f>
        <v>416.92833208886816</v>
      </c>
      <c r="O37" s="18">
        <f>D37*E37*$H$5</f>
        <v>0</v>
      </c>
      <c r="P37" s="8">
        <f>L37+M37</f>
        <v>2155.1243266875845</v>
      </c>
      <c r="Q37" s="8">
        <f>L37+N37</f>
        <v>1372.966775688868</v>
      </c>
      <c r="R37" s="8">
        <f>L37+O37</f>
        <v>956.03844359999994</v>
      </c>
    </row>
    <row r="38" spans="3:18" x14ac:dyDescent="0.4">
      <c r="C38" s="12" t="s">
        <v>115</v>
      </c>
      <c r="D38" s="58">
        <f>D37</f>
        <v>219446</v>
      </c>
      <c r="E38" s="59">
        <v>37.700000000000003</v>
      </c>
      <c r="F38" s="58">
        <v>5.0999999999999996</v>
      </c>
      <c r="G38" s="59">
        <v>15.7</v>
      </c>
      <c r="H38" s="58">
        <f>H37-I37</f>
        <v>8.7999999999999972</v>
      </c>
      <c r="I38" s="58">
        <v>0</v>
      </c>
      <c r="J38" s="12">
        <f t="shared" ref="J38:J52" si="6">D38*I38/100</f>
        <v>0</v>
      </c>
      <c r="K38" s="15">
        <f>D38*F38/3.415+D38*G38/3.415</f>
        <v>1336596.4275256221</v>
      </c>
      <c r="L38" s="14">
        <f>D38*H38*$H$2</f>
        <v>102.34961439999996</v>
      </c>
      <c r="M38" s="14">
        <f>D38*E38*$H$3</f>
        <v>1580.6132095245437</v>
      </c>
      <c r="N38" s="14">
        <f>D38*E38*$H$4</f>
        <v>549.58734684441708</v>
      </c>
      <c r="O38" s="14">
        <f>D38*E38*$H$5</f>
        <v>0</v>
      </c>
      <c r="P38" s="14">
        <f>L38+M38</f>
        <v>1682.9628239245437</v>
      </c>
      <c r="Q38" s="14">
        <f>L38+N38</f>
        <v>651.93696124441703</v>
      </c>
      <c r="R38" s="14">
        <f>L38+O38</f>
        <v>102.34961439999996</v>
      </c>
    </row>
    <row r="39" spans="3:18" x14ac:dyDescent="0.4">
      <c r="C39" s="12" t="s">
        <v>116</v>
      </c>
      <c r="D39" s="58">
        <f>D37</f>
        <v>219446</v>
      </c>
      <c r="E39" s="59">
        <f>43.1-H39</f>
        <v>34.300000000000004</v>
      </c>
      <c r="F39" s="15"/>
      <c r="G39" s="15"/>
      <c r="H39" s="58">
        <f>H38</f>
        <v>8.7999999999999972</v>
      </c>
      <c r="I39" s="58">
        <f>I38</f>
        <v>0</v>
      </c>
      <c r="J39" s="12">
        <f t="shared" si="6"/>
        <v>0</v>
      </c>
      <c r="K39" s="15"/>
      <c r="L39" s="14">
        <f t="shared" ref="L39:L40" si="7">D39*H39*$H$2</f>
        <v>102.34961439999996</v>
      </c>
      <c r="M39" s="14">
        <f t="shared" ref="M39:M40" si="8">D39*E39*$H$3</f>
        <v>1438.0645381085371</v>
      </c>
      <c r="N39" s="14">
        <f t="shared" ref="N39:N40" si="9">D39*E39*$H$4</f>
        <v>500.02244023245379</v>
      </c>
      <c r="O39" s="14">
        <f>D39*E39*$H$5</f>
        <v>0</v>
      </c>
      <c r="P39" s="14">
        <f t="shared" ref="P39:P40" si="10">L39+M39</f>
        <v>1540.4141525085372</v>
      </c>
      <c r="Q39" s="14">
        <f t="shared" ref="Q39:Q40" si="11">L39+N39</f>
        <v>602.3720546324538</v>
      </c>
      <c r="R39" s="14">
        <f t="shared" ref="R39:R40" si="12">L39+O39</f>
        <v>102.34961439999996</v>
      </c>
    </row>
    <row r="40" spans="3:18" x14ac:dyDescent="0.4">
      <c r="C40" s="12" t="s">
        <v>117</v>
      </c>
      <c r="D40" s="58">
        <f>D37</f>
        <v>219446</v>
      </c>
      <c r="E40" s="59">
        <f>16.84-H40</f>
        <v>8.0400000000000027</v>
      </c>
      <c r="F40" s="15"/>
      <c r="G40" s="15"/>
      <c r="H40" s="58">
        <f>H38</f>
        <v>8.7999999999999972</v>
      </c>
      <c r="I40" s="58">
        <f>I38</f>
        <v>0</v>
      </c>
      <c r="J40" s="12">
        <f t="shared" si="6"/>
        <v>0</v>
      </c>
      <c r="K40" s="15"/>
      <c r="L40" s="14">
        <f t="shared" si="7"/>
        <v>102.34961439999996</v>
      </c>
      <c r="M40" s="14">
        <f t="shared" si="8"/>
        <v>337.0856818190274</v>
      </c>
      <c r="N40" s="14">
        <f t="shared" si="9"/>
        <v>117.20642622358395</v>
      </c>
      <c r="O40" s="14">
        <f>D40*E40*$H$5</f>
        <v>0</v>
      </c>
      <c r="P40" s="14">
        <f t="shared" si="10"/>
        <v>439.43529621902735</v>
      </c>
      <c r="Q40" s="14">
        <f t="shared" si="11"/>
        <v>219.5560406235839</v>
      </c>
      <c r="R40" s="14">
        <f t="shared" si="12"/>
        <v>102.34961439999996</v>
      </c>
    </row>
    <row r="41" spans="3:18" x14ac:dyDescent="0.4">
      <c r="C41" s="4" t="s">
        <v>60</v>
      </c>
      <c r="D41" s="64">
        <v>56175</v>
      </c>
      <c r="E41" s="64">
        <v>22.8</v>
      </c>
      <c r="F41" s="64">
        <v>5.0999999999999996</v>
      </c>
      <c r="G41" s="64">
        <v>0</v>
      </c>
      <c r="H41" s="64">
        <v>34</v>
      </c>
      <c r="I41" s="64">
        <v>30.2</v>
      </c>
      <c r="J41" s="4">
        <f t="shared" si="6"/>
        <v>16964.849999999999</v>
      </c>
      <c r="K41" s="7">
        <f>D41*F41/3.415+D41*G41/3.415</f>
        <v>83892.386530014643</v>
      </c>
      <c r="L41" s="19">
        <f>D41*H41*$H$2</f>
        <v>101.22735</v>
      </c>
      <c r="M41" s="20">
        <f t="shared" ref="M41:M52" si="13">D41*E41*$H$3</f>
        <v>244.70030797192913</v>
      </c>
      <c r="N41" s="20">
        <f t="shared" ref="N41:N52" si="14">D41*E41*$H$4</f>
        <v>85.083556318473271</v>
      </c>
      <c r="O41" s="20">
        <f>D41*E41*$H$5</f>
        <v>0</v>
      </c>
      <c r="P41" s="8">
        <f t="shared" ref="P41:P52" si="15">L41+M41</f>
        <v>345.92765797192914</v>
      </c>
      <c r="Q41" s="8">
        <f t="shared" ref="Q41:Q52" si="16">L41+N41</f>
        <v>186.31090631847326</v>
      </c>
      <c r="R41" s="8">
        <f t="shared" ref="R41:R51" si="17">L41+O41</f>
        <v>101.22735</v>
      </c>
    </row>
    <row r="42" spans="3:18" x14ac:dyDescent="0.4">
      <c r="C42" s="12" t="s">
        <v>61</v>
      </c>
      <c r="D42" s="58">
        <f>D41</f>
        <v>56175</v>
      </c>
      <c r="E42" s="59">
        <v>34.700000000000003</v>
      </c>
      <c r="F42" s="58">
        <v>4.2</v>
      </c>
      <c r="G42" s="59">
        <v>10.6</v>
      </c>
      <c r="H42" s="58">
        <f>H41-I41</f>
        <v>3.8000000000000007</v>
      </c>
      <c r="I42" s="58">
        <v>0</v>
      </c>
      <c r="J42" s="12">
        <f t="shared" si="6"/>
        <v>0</v>
      </c>
      <c r="K42" s="15">
        <f t="shared" ref="K42:K50" si="18">D42*F42/3.415+D42*G42/3.415</f>
        <v>243452.4158125915</v>
      </c>
      <c r="L42" s="14">
        <f>D42*H42*$H$2</f>
        <v>11.313645000000001</v>
      </c>
      <c r="M42" s="14">
        <f t="shared" si="13"/>
        <v>372.41669678183956</v>
      </c>
      <c r="N42" s="14">
        <f t="shared" si="14"/>
        <v>129.49120194083434</v>
      </c>
      <c r="O42" s="14">
        <f t="shared" ref="O42:O52" si="19">D42*E42*$H$5</f>
        <v>0</v>
      </c>
      <c r="P42" s="14">
        <f t="shared" si="15"/>
        <v>383.73034178183957</v>
      </c>
      <c r="Q42" s="14">
        <f t="shared" si="16"/>
        <v>140.80484694083435</v>
      </c>
      <c r="R42" s="14">
        <f t="shared" si="17"/>
        <v>11.313645000000001</v>
      </c>
    </row>
    <row r="43" spans="3:18" x14ac:dyDescent="0.4">
      <c r="C43" s="4" t="s">
        <v>62</v>
      </c>
      <c r="D43" s="64">
        <v>31278</v>
      </c>
      <c r="E43" s="64">
        <v>24.8</v>
      </c>
      <c r="F43" s="64">
        <v>4.2</v>
      </c>
      <c r="G43" s="64">
        <v>0</v>
      </c>
      <c r="H43" s="64">
        <v>36</v>
      </c>
      <c r="I43" s="64">
        <v>30.8</v>
      </c>
      <c r="J43" s="4">
        <f>D43*I43/100</f>
        <v>9633.6239999999998</v>
      </c>
      <c r="K43" s="7">
        <f>D43*F43/3.415+D43*G43/3.415</f>
        <v>38467.818448023427</v>
      </c>
      <c r="L43" s="4">
        <f t="shared" ref="L43:L52" si="20">D43*H43*$H$2</f>
        <v>59.678424</v>
      </c>
      <c r="M43" s="6">
        <f t="shared" si="13"/>
        <v>148.19967252406781</v>
      </c>
      <c r="N43" s="6">
        <f t="shared" si="14"/>
        <v>51.529788777492278</v>
      </c>
      <c r="O43" s="6">
        <f t="shared" si="19"/>
        <v>0</v>
      </c>
      <c r="P43" s="8">
        <f t="shared" si="15"/>
        <v>207.87809652406781</v>
      </c>
      <c r="Q43" s="8">
        <f t="shared" si="16"/>
        <v>111.20821277749228</v>
      </c>
      <c r="R43" s="8">
        <f t="shared" si="17"/>
        <v>59.678424</v>
      </c>
    </row>
    <row r="44" spans="3:18" x14ac:dyDescent="0.4">
      <c r="C44" s="12" t="s">
        <v>63</v>
      </c>
      <c r="D44" s="58">
        <f>D43</f>
        <v>31278</v>
      </c>
      <c r="E44" s="59">
        <v>37.1</v>
      </c>
      <c r="F44" s="58">
        <v>3.5</v>
      </c>
      <c r="G44" s="59">
        <v>10.9</v>
      </c>
      <c r="H44" s="58">
        <f>H43-I43</f>
        <v>5.1999999999999993</v>
      </c>
      <c r="I44" s="58">
        <v>0</v>
      </c>
      <c r="J44" s="12">
        <f t="shared" si="6"/>
        <v>0</v>
      </c>
      <c r="K44" s="15">
        <f t="shared" si="18"/>
        <v>131889.66325036602</v>
      </c>
      <c r="L44" s="14">
        <f t="shared" si="20"/>
        <v>8.6202167999999997</v>
      </c>
      <c r="M44" s="14">
        <f t="shared" si="13"/>
        <v>221.70192946140787</v>
      </c>
      <c r="N44" s="14">
        <f t="shared" si="14"/>
        <v>77.086901759877563</v>
      </c>
      <c r="O44" s="14">
        <f t="shared" si="19"/>
        <v>0</v>
      </c>
      <c r="P44" s="14">
        <f t="shared" si="15"/>
        <v>230.32214626140788</v>
      </c>
      <c r="Q44" s="14">
        <f t="shared" si="16"/>
        <v>85.707118559877557</v>
      </c>
      <c r="R44" s="14">
        <f>L44+O44</f>
        <v>8.6202167999999997</v>
      </c>
    </row>
    <row r="45" spans="3:18" x14ac:dyDescent="0.4">
      <c r="C45" s="4" t="s">
        <v>64</v>
      </c>
      <c r="D45" s="64">
        <v>40824</v>
      </c>
      <c r="E45" s="64">
        <v>32.1</v>
      </c>
      <c r="F45" s="64">
        <v>6.3</v>
      </c>
      <c r="G45" s="64">
        <v>0</v>
      </c>
      <c r="H45" s="64">
        <v>39.299999999999997</v>
      </c>
      <c r="I45" s="64">
        <v>34.299999999999997</v>
      </c>
      <c r="J45" s="4">
        <f t="shared" si="6"/>
        <v>14002.632</v>
      </c>
      <c r="K45" s="7">
        <f>D45*F45/3.415+D45*G45/3.415</f>
        <v>75312.210834553436</v>
      </c>
      <c r="L45" s="4">
        <f>D45*H45*$H$2</f>
        <v>85.032309600000005</v>
      </c>
      <c r="M45" s="6">
        <f t="shared" si="13"/>
        <v>250.36705194601595</v>
      </c>
      <c r="N45" s="6">
        <f t="shared" si="14"/>
        <v>87.05391235953266</v>
      </c>
      <c r="O45" s="6">
        <f t="shared" si="19"/>
        <v>0</v>
      </c>
      <c r="P45" s="8">
        <f t="shared" si="15"/>
        <v>335.39936154601594</v>
      </c>
      <c r="Q45" s="8">
        <f t="shared" si="16"/>
        <v>172.08622195953268</v>
      </c>
      <c r="R45" s="8">
        <f t="shared" si="17"/>
        <v>85.032309600000005</v>
      </c>
    </row>
    <row r="46" spans="3:18" x14ac:dyDescent="0.4">
      <c r="C46" s="12" t="s">
        <v>65</v>
      </c>
      <c r="D46" s="58">
        <f>D45</f>
        <v>40824</v>
      </c>
      <c r="E46" s="59">
        <v>43.4</v>
      </c>
      <c r="F46" s="58">
        <v>5.2</v>
      </c>
      <c r="G46" s="59">
        <v>12.1</v>
      </c>
      <c r="H46" s="58">
        <f>H45-I45</f>
        <v>5</v>
      </c>
      <c r="I46" s="58">
        <v>0</v>
      </c>
      <c r="J46" s="12">
        <f t="shared" si="6"/>
        <v>0</v>
      </c>
      <c r="K46" s="15">
        <f>D46*F46/3.415+D46*G46/3.415</f>
        <v>206809.72181551976</v>
      </c>
      <c r="L46" s="14">
        <f t="shared" si="20"/>
        <v>10.81836</v>
      </c>
      <c r="M46" s="14">
        <f t="shared" si="13"/>
        <v>338.50249390832056</v>
      </c>
      <c r="N46" s="14">
        <f t="shared" si="14"/>
        <v>117.6990590779974</v>
      </c>
      <c r="O46" s="14">
        <f t="shared" si="19"/>
        <v>0</v>
      </c>
      <c r="P46" s="14">
        <f t="shared" si="15"/>
        <v>349.32085390832054</v>
      </c>
      <c r="Q46" s="14">
        <f t="shared" si="16"/>
        <v>128.5174190779974</v>
      </c>
      <c r="R46" s="14">
        <f t="shared" si="17"/>
        <v>10.81836</v>
      </c>
    </row>
    <row r="47" spans="3:18" x14ac:dyDescent="0.4">
      <c r="C47" s="4" t="s">
        <v>66</v>
      </c>
      <c r="D47" s="64">
        <v>42604</v>
      </c>
      <c r="E47" s="64">
        <v>38</v>
      </c>
      <c r="F47" s="64">
        <v>2.4</v>
      </c>
      <c r="G47" s="64">
        <v>0</v>
      </c>
      <c r="H47" s="64">
        <v>34.299999999999997</v>
      </c>
      <c r="I47" s="64">
        <v>29.3</v>
      </c>
      <c r="J47" s="4">
        <f>D47*I47/100</f>
        <v>12482.972</v>
      </c>
      <c r="K47" s="7">
        <f>D47*F47/3.415+D47*G47/3.415</f>
        <v>29941.317715959001</v>
      </c>
      <c r="L47" s="4">
        <f t="shared" si="20"/>
        <v>77.449811600000004</v>
      </c>
      <c r="M47" s="6">
        <f t="shared" si="13"/>
        <v>309.30757812894433</v>
      </c>
      <c r="N47" s="6">
        <f t="shared" si="14"/>
        <v>107.54783662341596</v>
      </c>
      <c r="O47" s="6">
        <f t="shared" si="19"/>
        <v>0</v>
      </c>
      <c r="P47" s="8">
        <f t="shared" si="15"/>
        <v>386.7573897289443</v>
      </c>
      <c r="Q47" s="8">
        <f t="shared" si="16"/>
        <v>184.99764822341598</v>
      </c>
      <c r="R47" s="8">
        <f t="shared" si="17"/>
        <v>77.449811600000004</v>
      </c>
    </row>
    <row r="48" spans="3:18" x14ac:dyDescent="0.4">
      <c r="C48" s="12" t="s">
        <v>67</v>
      </c>
      <c r="D48" s="58">
        <f>D47</f>
        <v>42604</v>
      </c>
      <c r="E48" s="59">
        <v>44.9</v>
      </c>
      <c r="F48" s="58">
        <v>2</v>
      </c>
      <c r="G48" s="59">
        <v>10.4</v>
      </c>
      <c r="H48" s="58">
        <f>H47-I47</f>
        <v>4.9999999999999964</v>
      </c>
      <c r="I48" s="58">
        <v>0</v>
      </c>
      <c r="J48" s="12">
        <f t="shared" si="6"/>
        <v>0</v>
      </c>
      <c r="K48" s="15">
        <f t="shared" si="18"/>
        <v>154696.80819912153</v>
      </c>
      <c r="L48" s="14">
        <f t="shared" si="20"/>
        <v>11.290059999999993</v>
      </c>
      <c r="M48" s="14">
        <f t="shared" si="13"/>
        <v>365.47132257867366</v>
      </c>
      <c r="N48" s="14">
        <f t="shared" si="14"/>
        <v>127.07625958924675</v>
      </c>
      <c r="O48" s="14">
        <f t="shared" si="19"/>
        <v>0</v>
      </c>
      <c r="P48" s="14">
        <f t="shared" si="15"/>
        <v>376.76138257867365</v>
      </c>
      <c r="Q48" s="14">
        <f t="shared" si="16"/>
        <v>138.36631958924673</v>
      </c>
      <c r="R48" s="14">
        <f t="shared" si="17"/>
        <v>11.290059999999993</v>
      </c>
    </row>
    <row r="49" spans="3:22" x14ac:dyDescent="0.4">
      <c r="C49" s="4" t="s">
        <v>68</v>
      </c>
      <c r="D49" s="64">
        <v>67506</v>
      </c>
      <c r="E49" s="64">
        <v>34.4</v>
      </c>
      <c r="F49" s="64">
        <v>0</v>
      </c>
      <c r="G49" s="64">
        <v>0</v>
      </c>
      <c r="H49" s="64">
        <v>40.700000000000003</v>
      </c>
      <c r="I49" s="64">
        <v>35.700000000000003</v>
      </c>
      <c r="J49" s="4">
        <f t="shared" si="6"/>
        <v>24099.642000000003</v>
      </c>
      <c r="K49" s="7">
        <f>D49*F49/3.415+D49*G49/3.415</f>
        <v>0</v>
      </c>
      <c r="L49" s="4">
        <f t="shared" si="20"/>
        <v>145.61719260000001</v>
      </c>
      <c r="M49" s="6">
        <f t="shared" si="13"/>
        <v>443.66728445286492</v>
      </c>
      <c r="N49" s="6">
        <f t="shared" si="14"/>
        <v>154.26539793215051</v>
      </c>
      <c r="O49" s="6">
        <f t="shared" si="19"/>
        <v>0</v>
      </c>
      <c r="P49" s="8">
        <f t="shared" si="15"/>
        <v>589.28447705286499</v>
      </c>
      <c r="Q49" s="8">
        <f t="shared" si="16"/>
        <v>299.88259053215052</v>
      </c>
      <c r="R49" s="8">
        <f t="shared" si="17"/>
        <v>145.61719260000001</v>
      </c>
    </row>
    <row r="50" spans="3:22" x14ac:dyDescent="0.4">
      <c r="C50" s="12" t="s">
        <v>69</v>
      </c>
      <c r="D50" s="58">
        <f>D49</f>
        <v>67506</v>
      </c>
      <c r="E50" s="59">
        <v>44.4</v>
      </c>
      <c r="F50" s="58">
        <f>F49*0.5</f>
        <v>0</v>
      </c>
      <c r="G50" s="59">
        <v>12.6</v>
      </c>
      <c r="H50" s="58">
        <f>H49-I49</f>
        <v>5</v>
      </c>
      <c r="I50" s="58"/>
      <c r="J50" s="45">
        <f t="shared" si="6"/>
        <v>0</v>
      </c>
      <c r="K50" s="15">
        <f t="shared" si="18"/>
        <v>249070.45387994143</v>
      </c>
      <c r="L50" s="14">
        <f t="shared" si="20"/>
        <v>17.889089999999999</v>
      </c>
      <c r="M50" s="14">
        <f t="shared" si="13"/>
        <v>572.64033225893024</v>
      </c>
      <c r="N50" s="14">
        <f t="shared" si="14"/>
        <v>199.10999035428731</v>
      </c>
      <c r="O50" s="14">
        <f t="shared" si="19"/>
        <v>0</v>
      </c>
      <c r="P50" s="14">
        <f t="shared" si="15"/>
        <v>590.52942225893025</v>
      </c>
      <c r="Q50" s="14">
        <f t="shared" si="16"/>
        <v>216.99908035428732</v>
      </c>
      <c r="R50" s="14">
        <f t="shared" si="17"/>
        <v>17.889089999999999</v>
      </c>
    </row>
    <row r="51" spans="3:22" x14ac:dyDescent="0.4">
      <c r="C51" s="4" t="s">
        <v>70</v>
      </c>
      <c r="D51" s="64">
        <v>4454</v>
      </c>
      <c r="E51" s="64">
        <v>35.799999999999997</v>
      </c>
      <c r="F51" s="64">
        <v>9.9</v>
      </c>
      <c r="G51" s="64">
        <v>0</v>
      </c>
      <c r="H51" s="64">
        <v>73.7</v>
      </c>
      <c r="I51" s="64">
        <v>70.8</v>
      </c>
      <c r="J51" s="4">
        <f t="shared" si="6"/>
        <v>3153.4320000000002</v>
      </c>
      <c r="K51" s="7">
        <f>D51*F51/3.415+D51*G51/3.415</f>
        <v>12912.035139092239</v>
      </c>
      <c r="L51" s="4">
        <f t="shared" si="20"/>
        <v>17.397769400000001</v>
      </c>
      <c r="M51" s="6">
        <f t="shared" si="13"/>
        <v>30.46420345810758</v>
      </c>
      <c r="N51" s="6">
        <f t="shared" si="14"/>
        <v>10.592560312276627</v>
      </c>
      <c r="O51" s="6">
        <f t="shared" si="19"/>
        <v>0</v>
      </c>
      <c r="P51" s="8">
        <f t="shared" si="15"/>
        <v>47.861972858107578</v>
      </c>
      <c r="Q51" s="8">
        <f t="shared" si="16"/>
        <v>27.990329712276626</v>
      </c>
      <c r="R51" s="8">
        <f t="shared" si="17"/>
        <v>17.397769400000001</v>
      </c>
    </row>
    <row r="52" spans="3:22" x14ac:dyDescent="0.4">
      <c r="C52" s="12" t="s">
        <v>128</v>
      </c>
      <c r="D52" s="58">
        <f>D51</f>
        <v>4454</v>
      </c>
      <c r="E52" s="59">
        <v>49</v>
      </c>
      <c r="F52" s="58">
        <v>8.6</v>
      </c>
      <c r="G52" s="59">
        <v>14.4</v>
      </c>
      <c r="H52" s="58">
        <f>H51-I51</f>
        <v>2.9000000000000057</v>
      </c>
      <c r="I52" s="58">
        <v>0</v>
      </c>
      <c r="J52" s="15">
        <f t="shared" si="6"/>
        <v>0</v>
      </c>
      <c r="K52" s="15">
        <f t="shared" ref="K52" si="21">D52*F52/3.415+D52*G52/3.415</f>
        <v>29997.657393850655</v>
      </c>
      <c r="L52" s="14">
        <f t="shared" si="20"/>
        <v>0.6845798000000014</v>
      </c>
      <c r="M52" s="14">
        <f t="shared" si="13"/>
        <v>41.696814789029929</v>
      </c>
      <c r="N52" s="14">
        <f t="shared" si="14"/>
        <v>14.498197075462423</v>
      </c>
      <c r="O52" s="14">
        <f t="shared" si="19"/>
        <v>0</v>
      </c>
      <c r="P52" s="14">
        <f t="shared" si="15"/>
        <v>42.381394589029931</v>
      </c>
      <c r="Q52" s="14">
        <f t="shared" si="16"/>
        <v>15.182776875462425</v>
      </c>
      <c r="R52" s="14">
        <f>L52+O52</f>
        <v>0.6845798000000014</v>
      </c>
    </row>
    <row r="53" spans="3:22" x14ac:dyDescent="0.4">
      <c r="C53" s="60" t="s">
        <v>113</v>
      </c>
      <c r="D53" s="58">
        <f>D37</f>
        <v>219446</v>
      </c>
      <c r="E53" s="59">
        <v>3.3</v>
      </c>
      <c r="F53" s="58">
        <v>0</v>
      </c>
      <c r="G53" s="59">
        <v>0</v>
      </c>
      <c r="H53" s="58">
        <v>0</v>
      </c>
      <c r="I53" s="58">
        <v>0</v>
      </c>
      <c r="J53" s="15">
        <f t="shared" ref="J53" si="22">D53*I53/100</f>
        <v>0</v>
      </c>
      <c r="K53" s="15">
        <f t="shared" ref="K53" si="23">D53*F53/3.415+D53*G53/3.415</f>
        <v>0</v>
      </c>
      <c r="L53" s="14">
        <f t="shared" ref="L53" si="24">D53*H53*$H$2</f>
        <v>0</v>
      </c>
      <c r="M53" s="14">
        <f t="shared" ref="M53" si="25">D53*E53*$H$3</f>
        <v>138.35606343318284</v>
      </c>
      <c r="N53" s="14">
        <f t="shared" ref="N53" si="26">D53*E53*$H$4</f>
        <v>48.107115241023237</v>
      </c>
      <c r="O53" s="14">
        <f t="shared" ref="O53" si="27">D53*E53*$H$5</f>
        <v>0</v>
      </c>
      <c r="P53" s="14">
        <f>L53+M53</f>
        <v>138.35606343318284</v>
      </c>
      <c r="Q53" s="14">
        <f>L53+N53</f>
        <v>48.107115241023237</v>
      </c>
      <c r="R53" s="14">
        <f t="shared" ref="R53" si="28">L53+O53</f>
        <v>0</v>
      </c>
    </row>
    <row r="54" spans="3:22" x14ac:dyDescent="0.4">
      <c r="O54" s="17"/>
      <c r="P54" s="17"/>
      <c r="Q54" s="17"/>
      <c r="R54" s="17"/>
    </row>
    <row r="55" spans="3:22" x14ac:dyDescent="0.4">
      <c r="O55" s="19"/>
      <c r="P55" s="19"/>
      <c r="Q55" s="19"/>
      <c r="R55" s="19"/>
    </row>
    <row r="56" spans="3:22" ht="15.9" x14ac:dyDescent="0.45">
      <c r="K56" s="32" t="s">
        <v>71</v>
      </c>
      <c r="N56" s="32"/>
      <c r="O56" s="28" t="s">
        <v>119</v>
      </c>
      <c r="P56" s="37">
        <f>P37+P41+P43+P45+P47+P49+P51</f>
        <v>4068.2332823695137</v>
      </c>
      <c r="Q56" s="37">
        <f>Q37+Q41+Q43+Q45+Q47+Q49+Q51</f>
        <v>2355.4426852122092</v>
      </c>
      <c r="R56" s="37">
        <f>R37+R41+R43+R45+R47+R49+R51</f>
        <v>1442.4413007999999</v>
      </c>
      <c r="S56" t="s">
        <v>73</v>
      </c>
      <c r="V56" s="62"/>
    </row>
    <row r="57" spans="3:22" ht="15.9" x14ac:dyDescent="0.45">
      <c r="M57" s="32"/>
      <c r="N57" s="32"/>
      <c r="O57" s="28" t="s">
        <v>118</v>
      </c>
      <c r="P57" s="37">
        <f>P38+P42+P44+P46+P48+P50+P52+P53</f>
        <v>3794.3644287359284</v>
      </c>
      <c r="Q57" s="37">
        <f>Q38+Q42+Q44+Q46+Q48+Q50+Q52+Q53</f>
        <v>1425.6216378831459</v>
      </c>
      <c r="R57" s="37">
        <f>R38+R42+R44+R46+R48+R50+R52+R53</f>
        <v>162.96556599999994</v>
      </c>
      <c r="S57" t="s">
        <v>73</v>
      </c>
      <c r="V57" s="62"/>
    </row>
    <row r="58" spans="3:22" x14ac:dyDescent="0.4">
      <c r="P58" s="61">
        <f>1-(P57/P56)</f>
        <v>6.7318866600017624E-2</v>
      </c>
      <c r="Q58" s="61">
        <f>1-(Q57/Q56)</f>
        <v>0.39475426558523663</v>
      </c>
      <c r="R58" t="s">
        <v>76</v>
      </c>
    </row>
    <row r="60" spans="3:22" x14ac:dyDescent="0.4">
      <c r="O60" s="24" t="s">
        <v>120</v>
      </c>
      <c r="P60" s="63">
        <f>P39+P42+P44+P46+P48+P50+P52+P53</f>
        <v>3651.8157573199223</v>
      </c>
      <c r="Q60" s="63">
        <f>Q39+Q42+Q44+Q46+Q48+Q50+Q52+Q53</f>
        <v>1376.0567312711828</v>
      </c>
      <c r="R60" s="63">
        <f>R39+R42+R44+R46+R48+R50+R52+R53</f>
        <v>162.96556599999994</v>
      </c>
    </row>
    <row r="61" spans="3:22" x14ac:dyDescent="0.4">
      <c r="O61" s="24" t="s">
        <v>121</v>
      </c>
      <c r="P61" s="63">
        <f>P40+P42+P44+P46+P48+P50+P52+P53</f>
        <v>2550.8369010304123</v>
      </c>
      <c r="Q61" s="63">
        <f>Q40+Q42+Q44+Q46+Q48+Q50+Q52+Q53</f>
        <v>993.24071726231296</v>
      </c>
      <c r="R61" s="63">
        <f>R40+R42+R44+R46+R48+R50+R52+R53</f>
        <v>162.96556599999994</v>
      </c>
    </row>
    <row r="65" spans="15:20" x14ac:dyDescent="0.4">
      <c r="P65" t="s">
        <v>122</v>
      </c>
      <c r="Q65" t="s">
        <v>123</v>
      </c>
      <c r="R65" t="s">
        <v>124</v>
      </c>
    </row>
    <row r="66" spans="15:20" x14ac:dyDescent="0.4">
      <c r="O66" t="s">
        <v>127</v>
      </c>
      <c r="P66" s="49">
        <f>P37</f>
        <v>2155.1243266875845</v>
      </c>
      <c r="Q66" s="49">
        <f>P37+P41+P51</f>
        <v>2548.9139575176209</v>
      </c>
      <c r="R66" s="49">
        <f>P37+P41+P43+P45+P47+P49+P51</f>
        <v>4068.2332823695137</v>
      </c>
    </row>
    <row r="67" spans="15:20" x14ac:dyDescent="0.4">
      <c r="O67" t="s">
        <v>125</v>
      </c>
      <c r="P67" s="49">
        <f>P38+P53</f>
        <v>1821.3188873577265</v>
      </c>
      <c r="Q67" s="49">
        <f>P38+P42+P52+P53</f>
        <v>2247.4306237285964</v>
      </c>
      <c r="R67" s="49">
        <f>P38+P42+P44+P46+P48+P50+P52+P53</f>
        <v>3794.3644287359284</v>
      </c>
    </row>
    <row r="68" spans="15:20" x14ac:dyDescent="0.4">
      <c r="O68" t="s">
        <v>126</v>
      </c>
      <c r="P68" s="49">
        <f>Q38+Q53</f>
        <v>700.04407648544031</v>
      </c>
      <c r="Q68" s="49">
        <f>Q38+Q42+Q52+Q53</f>
        <v>856.03170030173703</v>
      </c>
      <c r="R68" s="49">
        <f>Q38+Q42+Q44+Q46+Q48+Q50+Q52+Q53</f>
        <v>1425.6216378831459</v>
      </c>
    </row>
    <row r="70" spans="15:20" x14ac:dyDescent="0.4">
      <c r="R70" s="49"/>
      <c r="S70" s="49"/>
      <c r="T70" s="49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e3afca-d941-400c-972c-acffca502969">
      <Terms xmlns="http://schemas.microsoft.com/office/infopath/2007/PartnerControls"/>
    </lcf76f155ced4ddcb4097134ff3c332f>
    <TaxCatchAll xmlns="c2155184-5432-40f3-b1bf-e80939be538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0CD904053384040B6E7BE8970EFE59A" ma:contentTypeVersion="13" ma:contentTypeDescription="Create a new document." ma:contentTypeScope="" ma:versionID="811c66920579baa52654218b17f9b818">
  <xsd:schema xmlns:xsd="http://www.w3.org/2001/XMLSchema" xmlns:xs="http://www.w3.org/2001/XMLSchema" xmlns:p="http://schemas.microsoft.com/office/2006/metadata/properties" xmlns:ns2="23e3afca-d941-400c-972c-acffca502969" xmlns:ns3="c2155184-5432-40f3-b1bf-e80939be538f" targetNamespace="http://schemas.microsoft.com/office/2006/metadata/properties" ma:root="true" ma:fieldsID="4e54411989b9c5cc69bb76c894453786" ns2:_="" ns3:_="">
    <xsd:import namespace="23e3afca-d941-400c-972c-acffca502969"/>
    <xsd:import namespace="c2155184-5432-40f3-b1bf-e80939be53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e3afca-d941-400c-972c-acffca502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1ceebc0-4881-4c25-a184-c216a6cba9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155184-5432-40f3-b1bf-e80939be538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6ca05fe-5339-4ece-bd39-38272b5dbd25}" ma:internalName="TaxCatchAll" ma:showField="CatchAllData" ma:web="c2155184-5432-40f3-b1bf-e80939be53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7421AD-7D81-484E-BEC2-132CDC90EFB2}">
  <ds:schemaRefs>
    <ds:schemaRef ds:uri="http://schemas.microsoft.com/office/2006/metadata/properties"/>
    <ds:schemaRef ds:uri="http://schemas.microsoft.com/office/infopath/2007/PartnerControls"/>
    <ds:schemaRef ds:uri="23e3afca-d941-400c-972c-acffca502969"/>
    <ds:schemaRef ds:uri="c2155184-5432-40f3-b1bf-e80939be538f"/>
  </ds:schemaRefs>
</ds:datastoreItem>
</file>

<file path=customXml/itemProps2.xml><?xml version="1.0" encoding="utf-8"?>
<ds:datastoreItem xmlns:ds="http://schemas.openxmlformats.org/officeDocument/2006/customXml" ds:itemID="{D1B9AEAF-2FFD-45B9-A0AE-A6C63DDE5A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e3afca-d941-400c-972c-acffca502969"/>
    <ds:schemaRef ds:uri="c2155184-5432-40f3-b1bf-e80939be53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826962-BBE5-4E79-B6FE-3758428985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Carbon</vt:lpstr>
      <vt:lpstr>Costs</vt:lpstr>
      <vt:lpstr>Carbon - Q3</vt:lpstr>
      <vt:lpstr>Carbon -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M. McMillen</dc:creator>
  <cp:keywords/>
  <dc:description/>
  <cp:lastModifiedBy>Jessica K. Lee</cp:lastModifiedBy>
  <cp:revision/>
  <dcterms:created xsi:type="dcterms:W3CDTF">2024-03-18T17:27:52Z</dcterms:created>
  <dcterms:modified xsi:type="dcterms:W3CDTF">2024-09-24T20:23:30Z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0x01010080CD904053384040B6E7BE8970EFE59A</vt:lpwstr>
  </property>
  <property fmtid="{D5CDD505-2E9C-101B-9397-08002B2CF9AE}" pid="3" name="MediaServiceImageTags">
    <vt:lpwstr/>
  </property>
</Properties>
</file>