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8.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9.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0.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1.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https://imegcorp.sharepoint.com/sites/23007327.00/Shared Documents/General/Energy Model/"/>
    </mc:Choice>
  </mc:AlternateContent>
  <xr:revisionPtr revIDLastSave="4618" documentId="13_ncr:1_{96B54A50-2C17-4EC3-B91A-41290FE944B0}" xr6:coauthVersionLast="47" xr6:coauthVersionMax="47" xr10:uidLastSave="{86BB395D-E174-4D63-8415-173ABB7CA73D}"/>
  <bookViews>
    <workbookView xWindow="-103" yWindow="-103" windowWidth="22149" windowHeight="13320" tabRatio="844" firstSheet="7" activeTab="7" xr2:uid="{00000000-000D-0000-FFFF-FFFF00000000}"/>
  </bookViews>
  <sheets>
    <sheet name="T3D-Report Tables" sheetId="52" state="hidden" r:id="rId1"/>
    <sheet name="T3D Data" sheetId="55" state="hidden" r:id="rId2"/>
    <sheet name="T3D-End Use" sheetId="54" state="hidden" r:id="rId3"/>
    <sheet name="T-End Use" sheetId="15" state="hidden" r:id="rId4"/>
    <sheet name="Audit Screenshots" sheetId="61" r:id="rId5"/>
    <sheet name="Modeling Journal" sheetId="60" state="hidden" r:id="rId6"/>
    <sheet name="Garcia PV Study - mid data" sheetId="66" state="hidden" r:id="rId7"/>
    <sheet name="Homes - Inputs" sheetId="45" r:id="rId8"/>
    <sheet name="Homes - 2022" sheetId="43" r:id="rId9"/>
    <sheet name="Homes w PV" sheetId="65" r:id="rId10"/>
    <sheet name="PV Production Ratio" sheetId="67" r:id="rId11"/>
    <sheet name="Neighborhood Inputs" sheetId="62" r:id="rId12"/>
    <sheet name="Neighborhood - TMY3" sheetId="64" r:id="rId13"/>
    <sheet name="Load Summary" sheetId="68" r:id="rId14"/>
    <sheet name="Std Calcs" sheetId="58" state="hidden" r:id="rId15"/>
    <sheet name="Neighborhood - 2022" sheetId="63" state="hidden" r:id="rId16"/>
    <sheet name="DB-End Use" sheetId="46" state="hidden" r:id="rId1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7" i="65" l="1"/>
  <c r="AV6" i="65"/>
  <c r="AV5" i="65"/>
  <c r="AD50" i="65"/>
  <c r="AD51" i="65"/>
  <c r="AD52" i="65"/>
  <c r="AD53" i="65"/>
  <c r="AD54" i="65"/>
  <c r="AD55" i="65"/>
  <c r="AC50" i="65"/>
  <c r="AD47" i="65"/>
  <c r="AB47" i="65"/>
  <c r="B14" i="67"/>
  <c r="U41" i="65"/>
  <c r="P44" i="65"/>
  <c r="N43" i="65"/>
  <c r="AD59" i="65" l="1"/>
  <c r="D42" i="62"/>
  <c r="N77" i="65"/>
  <c r="M31" i="43"/>
  <c r="I40" i="65"/>
  <c r="N71" i="45" l="1"/>
  <c r="N70" i="45"/>
  <c r="Q51" i="64" l="1"/>
  <c r="L2" i="68" s="1"/>
  <c r="AJ11" i="64"/>
  <c r="AZ11" i="64"/>
  <c r="H57" i="64" s="1"/>
  <c r="BP11" i="64"/>
  <c r="J57" i="64" s="1"/>
  <c r="EJ11" i="64"/>
  <c r="D57" i="64" s="1"/>
  <c r="S23" i="64"/>
  <c r="I56" i="64" l="1"/>
  <c r="G56" i="64"/>
  <c r="Q41" i="58" l="1"/>
  <c r="Q40" i="58"/>
  <c r="EN30" i="64"/>
  <c r="EN41" i="64" s="1"/>
  <c r="EM30" i="64"/>
  <c r="EM41" i="64" s="1"/>
  <c r="EL30" i="64"/>
  <c r="EL41" i="64" s="1"/>
  <c r="EK30" i="64"/>
  <c r="EJ30" i="64"/>
  <c r="EN29" i="64"/>
  <c r="EN40" i="64" s="1"/>
  <c r="EM29" i="64"/>
  <c r="EM40" i="64" s="1"/>
  <c r="EL29" i="64"/>
  <c r="EL40" i="64" s="1"/>
  <c r="EK29" i="64"/>
  <c r="EJ29" i="64"/>
  <c r="EN28" i="64"/>
  <c r="EN39" i="64" s="1"/>
  <c r="EM28" i="64"/>
  <c r="EM39" i="64" s="1"/>
  <c r="EL28" i="64"/>
  <c r="EL39" i="64" s="1"/>
  <c r="EK28" i="64"/>
  <c r="EN27" i="64"/>
  <c r="EN38" i="64" s="1"/>
  <c r="EM27" i="64"/>
  <c r="EM38" i="64" s="1"/>
  <c r="EL27" i="64"/>
  <c r="EL38" i="64" s="1"/>
  <c r="EK27" i="64"/>
  <c r="EN26" i="64"/>
  <c r="EN37" i="64" s="1"/>
  <c r="EM26" i="64"/>
  <c r="EM37" i="64" s="1"/>
  <c r="EL26" i="64"/>
  <c r="EL37" i="64" s="1"/>
  <c r="EK26" i="64"/>
  <c r="EJ26" i="64"/>
  <c r="EN25" i="64"/>
  <c r="EN36" i="64" s="1"/>
  <c r="EM25" i="64"/>
  <c r="EM36" i="64" s="1"/>
  <c r="EL25" i="64"/>
  <c r="EL36" i="64" s="1"/>
  <c r="EK25" i="64"/>
  <c r="EJ25" i="64"/>
  <c r="EN24" i="64"/>
  <c r="EM24" i="64"/>
  <c r="EL24" i="64"/>
  <c r="EL35" i="64" s="1"/>
  <c r="EK24" i="64"/>
  <c r="EJ24" i="64"/>
  <c r="EJ28" i="64"/>
  <c r="AD10" i="58"/>
  <c r="EI2" i="64"/>
  <c r="EO29" i="64" l="1"/>
  <c r="EO26" i="64"/>
  <c r="EO28" i="64"/>
  <c r="EO24" i="64"/>
  <c r="EO25" i="64"/>
  <c r="EO30" i="64"/>
  <c r="EM31" i="64"/>
  <c r="EM42" i="64" s="1"/>
  <c r="EN31" i="64"/>
  <c r="EN46" i="64" s="1"/>
  <c r="EK31" i="64"/>
  <c r="EM35" i="64"/>
  <c r="EL31" i="64"/>
  <c r="EN35" i="64"/>
  <c r="BY50" i="64"/>
  <c r="K51" i="64" s="1"/>
  <c r="I2" i="68" s="1"/>
  <c r="BX50" i="64"/>
  <c r="K50" i="64" s="1"/>
  <c r="I3" i="68" s="1"/>
  <c r="DT50" i="64"/>
  <c r="Q50" i="64" s="1"/>
  <c r="L3" i="68" s="1"/>
  <c r="DE50" i="64"/>
  <c r="O51" i="64" s="1"/>
  <c r="K2" i="68" s="1"/>
  <c r="DD50" i="64"/>
  <c r="O50" i="64" s="1"/>
  <c r="K3" i="68" s="1"/>
  <c r="CO50" i="64"/>
  <c r="M51" i="64" s="1"/>
  <c r="J2" i="68" s="1"/>
  <c r="CN50" i="64"/>
  <c r="M50" i="64" s="1"/>
  <c r="J3" i="68" s="1"/>
  <c r="BI50" i="64"/>
  <c r="BH50" i="64"/>
  <c r="AS50" i="64"/>
  <c r="AR50" i="64"/>
  <c r="AB50" i="64"/>
  <c r="C50" i="64" s="1"/>
  <c r="B3" i="68" s="1"/>
  <c r="AC50" i="64"/>
  <c r="C51" i="64" s="1"/>
  <c r="B2" i="68" s="1"/>
  <c r="C46" i="58"/>
  <c r="D48" i="58"/>
  <c r="C48" i="58"/>
  <c r="D47" i="58"/>
  <c r="C47" i="58"/>
  <c r="C4" i="62" a="1"/>
  <c r="C4" i="62" s="1"/>
  <c r="C18" i="62" a="1"/>
  <c r="C18" i="62" s="1"/>
  <c r="H35" i="62"/>
  <c r="H36" i="62"/>
  <c r="J36" i="62"/>
  <c r="AD12" i="58" l="1"/>
  <c r="AD21" i="58" s="1"/>
  <c r="AD40" i="58" s="1"/>
  <c r="G51" i="64"/>
  <c r="G2" i="68" s="1"/>
  <c r="X12" i="58"/>
  <c r="I51" i="64"/>
  <c r="H2" i="68" s="1"/>
  <c r="D2" i="68"/>
  <c r="D3" i="68"/>
  <c r="H58" i="64"/>
  <c r="J58" i="64"/>
  <c r="C55" i="64"/>
  <c r="EM46" i="64"/>
  <c r="EN42" i="64"/>
  <c r="G50" i="64"/>
  <c r="G3" i="68" s="1"/>
  <c r="AD11" i="58"/>
  <c r="AD25" i="58" s="1"/>
  <c r="EL42" i="64"/>
  <c r="EL46" i="64"/>
  <c r="EK46" i="64"/>
  <c r="AD20" i="58"/>
  <c r="AF20" i="58" s="1"/>
  <c r="AF21" i="58" s="1"/>
  <c r="I50" i="64"/>
  <c r="H3" i="68" s="1"/>
  <c r="X11" i="58"/>
  <c r="L71" i="45"/>
  <c r="AD19" i="58" l="1"/>
  <c r="AD32" i="58" s="1"/>
  <c r="AD38" i="58" s="1"/>
  <c r="C2" i="68"/>
  <c r="E2" i="68" s="1"/>
  <c r="AD18" i="58"/>
  <c r="C3" i="68"/>
  <c r="E3" i="68" s="1"/>
  <c r="AD35" i="58"/>
  <c r="G55" i="64"/>
  <c r="H59" i="64"/>
  <c r="I55" i="64"/>
  <c r="J59" i="64"/>
  <c r="AD27" i="58"/>
  <c r="AD29" i="58" s="1"/>
  <c r="AD28" i="58"/>
  <c r="AF28" i="58" s="1"/>
  <c r="AD22" i="58"/>
  <c r="C5" i="62" a="1"/>
  <c r="C5" i="62" s="1"/>
  <c r="C6" i="62" a="1"/>
  <c r="C6" i="62" s="1"/>
  <c r="C7" i="62" a="1"/>
  <c r="C7" i="62" s="1"/>
  <c r="C8" i="62" a="1"/>
  <c r="C8" i="62" s="1"/>
  <c r="C9" i="62" a="1"/>
  <c r="C9" i="62" s="1"/>
  <c r="C10" i="62" a="1"/>
  <c r="C10" i="62" s="1"/>
  <c r="C11" i="62" a="1"/>
  <c r="C11" i="62" s="1"/>
  <c r="C12" i="62" a="1"/>
  <c r="C12" i="62" s="1"/>
  <c r="C13" i="62" a="1"/>
  <c r="C13" i="62" s="1"/>
  <c r="C14" i="62" a="1"/>
  <c r="C14" i="62" s="1"/>
  <c r="C15" i="62" a="1"/>
  <c r="C15" i="62" s="1"/>
  <c r="C16" i="62" a="1"/>
  <c r="C16" i="62" s="1"/>
  <c r="C17" i="62" a="1"/>
  <c r="C17" i="62" s="1"/>
  <c r="EF30" i="64"/>
  <c r="EE30" i="64"/>
  <c r="ED30" i="64"/>
  <c r="EC30" i="64"/>
  <c r="EC41" i="64" s="1"/>
  <c r="EB30" i="64"/>
  <c r="EB41" i="64" s="1"/>
  <c r="EF29" i="64"/>
  <c r="EE29" i="64"/>
  <c r="ED29" i="64"/>
  <c r="EC29" i="64"/>
  <c r="EC40" i="64" s="1"/>
  <c r="EB29" i="64"/>
  <c r="EB40" i="64" s="1"/>
  <c r="EF28" i="64"/>
  <c r="EE28" i="64"/>
  <c r="ED28" i="64"/>
  <c r="EC28" i="64"/>
  <c r="EC39" i="64" s="1"/>
  <c r="EF27" i="64"/>
  <c r="EE27" i="64"/>
  <c r="ED27" i="64"/>
  <c r="EC27" i="64"/>
  <c r="EC38" i="64" s="1"/>
  <c r="EF26" i="64"/>
  <c r="EE26" i="64"/>
  <c r="ED26" i="64"/>
  <c r="EC26" i="64"/>
  <c r="EC37" i="64" s="1"/>
  <c r="EB26" i="64"/>
  <c r="EB37" i="64" s="1"/>
  <c r="EF25" i="64"/>
  <c r="EE25" i="64"/>
  <c r="ED25" i="64"/>
  <c r="EF24" i="64"/>
  <c r="EE24" i="64"/>
  <c r="ED24" i="64"/>
  <c r="EC24" i="64"/>
  <c r="EC35" i="64" s="1"/>
  <c r="EB24" i="64"/>
  <c r="EB35" i="64" s="1"/>
  <c r="Q23" i="64"/>
  <c r="DS2" i="64" s="1"/>
  <c r="R23" i="64"/>
  <c r="EA2" i="64" s="1"/>
  <c r="M23" i="64"/>
  <c r="N23" i="64"/>
  <c r="CU2" i="64" s="1"/>
  <c r="O23" i="64"/>
  <c r="DC2" i="64" s="1"/>
  <c r="P23" i="64"/>
  <c r="DK2" i="64" s="1"/>
  <c r="DX30" i="64"/>
  <c r="DW30" i="64"/>
  <c r="DV30" i="64"/>
  <c r="DU30" i="64"/>
  <c r="DU41" i="64" s="1"/>
  <c r="DT30" i="64"/>
  <c r="DT41" i="64" s="1"/>
  <c r="DX29" i="64"/>
  <c r="DW29" i="64"/>
  <c r="DV29" i="64"/>
  <c r="DU29" i="64"/>
  <c r="DU40" i="64" s="1"/>
  <c r="DT29" i="64"/>
  <c r="DT40" i="64" s="1"/>
  <c r="DX28" i="64"/>
  <c r="DW28" i="64"/>
  <c r="DV28" i="64"/>
  <c r="DU28" i="64"/>
  <c r="DU39" i="64" s="1"/>
  <c r="DT28" i="64"/>
  <c r="DT39" i="64" s="1"/>
  <c r="DX27" i="64"/>
  <c r="DW27" i="64"/>
  <c r="DV27" i="64"/>
  <c r="DU27" i="64"/>
  <c r="DU38" i="64" s="1"/>
  <c r="DT27" i="64"/>
  <c r="DT38" i="64" s="1"/>
  <c r="DX26" i="64"/>
  <c r="DW26" i="64"/>
  <c r="DV26" i="64"/>
  <c r="DU26" i="64"/>
  <c r="DU37" i="64" s="1"/>
  <c r="DT26" i="64"/>
  <c r="DT37" i="64" s="1"/>
  <c r="DX25" i="64"/>
  <c r="DW25" i="64"/>
  <c r="DV25" i="64"/>
  <c r="DU25" i="64"/>
  <c r="DU36" i="64" s="1"/>
  <c r="DT25" i="64"/>
  <c r="DT36" i="64" s="1"/>
  <c r="DX24" i="64"/>
  <c r="DW24" i="64"/>
  <c r="DV24" i="64"/>
  <c r="DU24" i="64"/>
  <c r="DU35" i="64" s="1"/>
  <c r="DT24" i="64"/>
  <c r="DT35" i="64" s="1"/>
  <c r="DP30" i="64"/>
  <c r="DO30" i="64"/>
  <c r="DN30" i="64"/>
  <c r="DM30" i="64"/>
  <c r="DM41" i="64" s="1"/>
  <c r="DL30" i="64"/>
  <c r="DL41" i="64" s="1"/>
  <c r="DP29" i="64"/>
  <c r="DO29" i="64"/>
  <c r="DN29" i="64"/>
  <c r="DM29" i="64"/>
  <c r="DM40" i="64" s="1"/>
  <c r="DL29" i="64"/>
  <c r="DL40" i="64" s="1"/>
  <c r="DP28" i="64"/>
  <c r="DO28" i="64"/>
  <c r="DN28" i="64"/>
  <c r="DM28" i="64"/>
  <c r="DM39" i="64" s="1"/>
  <c r="DP27" i="64"/>
  <c r="DO27" i="64"/>
  <c r="DN27" i="64"/>
  <c r="DM27" i="64"/>
  <c r="DM38" i="64" s="1"/>
  <c r="DP26" i="64"/>
  <c r="DO26" i="64"/>
  <c r="DN26" i="64"/>
  <c r="DM26" i="64"/>
  <c r="DM37" i="64" s="1"/>
  <c r="DP25" i="64"/>
  <c r="DO25" i="64"/>
  <c r="DN25" i="64"/>
  <c r="DP24" i="64"/>
  <c r="DO24" i="64"/>
  <c r="DN24" i="64"/>
  <c r="DM24" i="64"/>
  <c r="DM35" i="64" s="1"/>
  <c r="DL24" i="64"/>
  <c r="DL35" i="64" s="1"/>
  <c r="DH30" i="64"/>
  <c r="DG30" i="64"/>
  <c r="DF30" i="64"/>
  <c r="DE30" i="64"/>
  <c r="DE41" i="64" s="1"/>
  <c r="DD30" i="64"/>
  <c r="DD41" i="64" s="1"/>
  <c r="DH29" i="64"/>
  <c r="DG29" i="64"/>
  <c r="DF29" i="64"/>
  <c r="DE29" i="64"/>
  <c r="DE40" i="64" s="1"/>
  <c r="DD29" i="64"/>
  <c r="DD40" i="64" s="1"/>
  <c r="DH28" i="64"/>
  <c r="DG28" i="64"/>
  <c r="DF28" i="64"/>
  <c r="DE28" i="64"/>
  <c r="DE39" i="64" s="1"/>
  <c r="DD28" i="64"/>
  <c r="DH27" i="64"/>
  <c r="DG27" i="64"/>
  <c r="DF27" i="64"/>
  <c r="DE27" i="64"/>
  <c r="DE38" i="64" s="1"/>
  <c r="DD27" i="64"/>
  <c r="DD38" i="64" s="1"/>
  <c r="DH26" i="64"/>
  <c r="DG26" i="64"/>
  <c r="DF26" i="64"/>
  <c r="DE26" i="64"/>
  <c r="DE37" i="64" s="1"/>
  <c r="DD26" i="64"/>
  <c r="DD37" i="64" s="1"/>
  <c r="DH25" i="64"/>
  <c r="DG25" i="64"/>
  <c r="DF25" i="64"/>
  <c r="DE25" i="64"/>
  <c r="DE36" i="64" s="1"/>
  <c r="DD25" i="64"/>
  <c r="DD36" i="64" s="1"/>
  <c r="DH24" i="64"/>
  <c r="DG24" i="64"/>
  <c r="DF24" i="64"/>
  <c r="DE24" i="64"/>
  <c r="DE35" i="64" s="1"/>
  <c r="DD24" i="64"/>
  <c r="DD35" i="64" s="1"/>
  <c r="CZ30" i="64"/>
  <c r="CY30" i="64"/>
  <c r="CX30" i="64"/>
  <c r="CW30" i="64"/>
  <c r="CW41" i="64" s="1"/>
  <c r="CV30" i="64"/>
  <c r="CV41" i="64" s="1"/>
  <c r="CZ29" i="64"/>
  <c r="CY29" i="64"/>
  <c r="CX29" i="64"/>
  <c r="CW29" i="64"/>
  <c r="CW40" i="64" s="1"/>
  <c r="CV29" i="64"/>
  <c r="CV40" i="64" s="1"/>
  <c r="CZ28" i="64"/>
  <c r="CY28" i="64"/>
  <c r="CX28" i="64"/>
  <c r="CW28" i="64"/>
  <c r="CW39" i="64" s="1"/>
  <c r="CZ27" i="64"/>
  <c r="CY27" i="64"/>
  <c r="CX27" i="64"/>
  <c r="CW27" i="64"/>
  <c r="CW38" i="64" s="1"/>
  <c r="CZ26" i="64"/>
  <c r="CY26" i="64"/>
  <c r="CX26" i="64"/>
  <c r="CW26" i="64"/>
  <c r="CW37" i="64" s="1"/>
  <c r="CZ25" i="64"/>
  <c r="CY25" i="64"/>
  <c r="CX25" i="64"/>
  <c r="CZ24" i="64"/>
  <c r="CY24" i="64"/>
  <c r="CX24" i="64"/>
  <c r="CW24" i="64"/>
  <c r="CW35" i="64" s="1"/>
  <c r="CV24" i="64"/>
  <c r="CV35" i="64" s="1"/>
  <c r="AD26" i="58" l="1"/>
  <c r="DI28" i="64"/>
  <c r="O28" i="64" s="1"/>
  <c r="DD39" i="64"/>
  <c r="DI29" i="64"/>
  <c r="O29" i="64" s="1"/>
  <c r="DI26" i="64"/>
  <c r="O26" i="64" s="1"/>
  <c r="DI27" i="64"/>
  <c r="O27" i="64" s="1"/>
  <c r="DI25" i="64"/>
  <c r="O25" i="64" s="1"/>
  <c r="DI30" i="64"/>
  <c r="O30" i="64" s="1"/>
  <c r="DI24" i="64"/>
  <c r="O24" i="64" s="1"/>
  <c r="DY24" i="64"/>
  <c r="Q24" i="64" s="1"/>
  <c r="DY29" i="64"/>
  <c r="Q29" i="64" s="1"/>
  <c r="EG24" i="64"/>
  <c r="R24" i="64" s="1"/>
  <c r="ED31" i="64"/>
  <c r="ED46" i="64" s="1"/>
  <c r="EE31" i="64"/>
  <c r="EE46" i="64" s="1"/>
  <c r="DY25" i="64"/>
  <c r="Q25" i="64" s="1"/>
  <c r="DA24" i="64"/>
  <c r="N24" i="64" s="1"/>
  <c r="EG29" i="64"/>
  <c r="R29" i="64" s="1"/>
  <c r="DQ24" i="64"/>
  <c r="P24" i="64" s="1"/>
  <c r="DQ30" i="64"/>
  <c r="P30" i="64" s="1"/>
  <c r="DQ29" i="64"/>
  <c r="P29" i="64" s="1"/>
  <c r="DA29" i="64"/>
  <c r="N29" i="64" s="1"/>
  <c r="DA30" i="64"/>
  <c r="N30" i="64" s="1"/>
  <c r="EG30" i="64"/>
  <c r="R30" i="64" s="1"/>
  <c r="EG26" i="64"/>
  <c r="R26" i="64" s="1"/>
  <c r="DY30" i="64"/>
  <c r="Q30" i="64" s="1"/>
  <c r="DY28" i="64"/>
  <c r="Q28" i="64" s="1"/>
  <c r="DY27" i="64"/>
  <c r="Q27" i="64" s="1"/>
  <c r="DY26" i="64"/>
  <c r="Q26" i="64" s="1"/>
  <c r="EF31" i="64"/>
  <c r="DN31" i="64"/>
  <c r="DN46" i="64" s="1"/>
  <c r="DV31" i="64"/>
  <c r="DP31" i="64"/>
  <c r="DP46" i="64" s="1"/>
  <c r="DE31" i="64"/>
  <c r="DE42" i="64" s="1"/>
  <c r="DF31" i="64"/>
  <c r="DT31" i="64"/>
  <c r="DT42" i="64" s="1"/>
  <c r="DG31" i="64"/>
  <c r="DU31" i="64"/>
  <c r="DU42" i="64" s="1"/>
  <c r="CX31" i="64"/>
  <c r="DX31" i="64"/>
  <c r="DW31" i="64"/>
  <c r="DO31" i="64"/>
  <c r="DH31" i="64"/>
  <c r="DD31" i="64"/>
  <c r="DD42" i="64" s="1"/>
  <c r="CY31" i="64"/>
  <c r="CZ31" i="64"/>
  <c r="K35" i="65"/>
  <c r="K34" i="65"/>
  <c r="K33" i="65"/>
  <c r="K32" i="65"/>
  <c r="K31" i="65"/>
  <c r="K30" i="65"/>
  <c r="K29" i="65"/>
  <c r="K28" i="65"/>
  <c r="K27" i="65"/>
  <c r="K26" i="65"/>
  <c r="K25" i="65"/>
  <c r="K24" i="65"/>
  <c r="K9" i="65"/>
  <c r="K10" i="65"/>
  <c r="K11" i="65"/>
  <c r="K12" i="65"/>
  <c r="K13" i="65"/>
  <c r="K14" i="65"/>
  <c r="K15" i="65"/>
  <c r="K16" i="65"/>
  <c r="K17" i="65"/>
  <c r="K18" i="65"/>
  <c r="K19" i="65"/>
  <c r="K8" i="65"/>
  <c r="K20" i="65" s="1"/>
  <c r="X10" i="58"/>
  <c r="J57" i="65"/>
  <c r="J58" i="65"/>
  <c r="J59" i="65"/>
  <c r="J60" i="65"/>
  <c r="J61" i="65"/>
  <c r="J62" i="65"/>
  <c r="J63" i="65"/>
  <c r="J64" i="65"/>
  <c r="J65" i="65"/>
  <c r="J66" i="65"/>
  <c r="J67" i="65"/>
  <c r="J56" i="65"/>
  <c r="J41" i="65"/>
  <c r="J42" i="65"/>
  <c r="J43" i="65"/>
  <c r="J44" i="65"/>
  <c r="J45" i="65"/>
  <c r="J46" i="65"/>
  <c r="J47" i="65"/>
  <c r="J48" i="65"/>
  <c r="J49" i="65"/>
  <c r="J50" i="65"/>
  <c r="J51" i="65"/>
  <c r="J40" i="65"/>
  <c r="K36" i="65" l="1"/>
  <c r="AW6" i="65" s="1"/>
  <c r="DI31" i="64"/>
  <c r="O31" i="64" s="1"/>
  <c r="DY31" i="64"/>
  <c r="Q31" i="64" s="1"/>
  <c r="EF46" i="64"/>
  <c r="DF46" i="64"/>
  <c r="DV46" i="64"/>
  <c r="DG46" i="64"/>
  <c r="DU46" i="64"/>
  <c r="DE46" i="64"/>
  <c r="CX46" i="64"/>
  <c r="DW46" i="64"/>
  <c r="DX46" i="64"/>
  <c r="DO46" i="64"/>
  <c r="DH46" i="64"/>
  <c r="CZ46" i="64"/>
  <c r="CY46" i="64"/>
  <c r="M16" i="58"/>
  <c r="H16" i="58"/>
  <c r="I16" i="58"/>
  <c r="L70" i="45"/>
  <c r="C2" i="67"/>
  <c r="C3" i="67"/>
  <c r="C4" i="67"/>
  <c r="F4" i="66" s="1"/>
  <c r="H4" i="66" s="1"/>
  <c r="C5" i="67"/>
  <c r="C6" i="67"/>
  <c r="C7" i="67"/>
  <c r="C8" i="67"/>
  <c r="C9" i="67"/>
  <c r="F9" i="66" s="1"/>
  <c r="H9" i="66" s="1"/>
  <c r="C10" i="67"/>
  <c r="C11" i="67"/>
  <c r="C12" i="67"/>
  <c r="F12" i="66" s="1"/>
  <c r="H12" i="66" s="1"/>
  <c r="C13" i="67"/>
  <c r="D2" i="66"/>
  <c r="F2" i="66"/>
  <c r="H2" i="66" s="1"/>
  <c r="G2" i="66"/>
  <c r="J2" i="66"/>
  <c r="L2" i="66" s="1"/>
  <c r="K2" i="66"/>
  <c r="O2" i="66"/>
  <c r="F3" i="66"/>
  <c r="H3" i="66" s="1"/>
  <c r="G3" i="66"/>
  <c r="J3" i="66"/>
  <c r="K3" i="66"/>
  <c r="O3" i="66" s="1"/>
  <c r="L3" i="66"/>
  <c r="D4" i="66"/>
  <c r="G4" i="66"/>
  <c r="J4" i="66"/>
  <c r="L4" i="66" s="1"/>
  <c r="K4" i="66"/>
  <c r="O4" i="66"/>
  <c r="F5" i="66"/>
  <c r="H5" i="66" s="1"/>
  <c r="G5" i="66"/>
  <c r="J5" i="66"/>
  <c r="K5" i="66"/>
  <c r="O5" i="66" s="1"/>
  <c r="L5" i="66"/>
  <c r="D6" i="66"/>
  <c r="F6" i="66"/>
  <c r="G6" i="66"/>
  <c r="J6" i="66"/>
  <c r="L6" i="66" s="1"/>
  <c r="K6" i="66"/>
  <c r="O6" i="66"/>
  <c r="F7" i="66"/>
  <c r="N7" i="66" s="1"/>
  <c r="P7" i="66" s="1"/>
  <c r="G7" i="66"/>
  <c r="J7" i="66"/>
  <c r="K7" i="66"/>
  <c r="O7" i="66" s="1"/>
  <c r="L7" i="66"/>
  <c r="D8" i="66"/>
  <c r="F8" i="66"/>
  <c r="H8" i="66" s="1"/>
  <c r="G8" i="66"/>
  <c r="J8" i="66"/>
  <c r="L8" i="66" s="1"/>
  <c r="K8" i="66"/>
  <c r="O8" i="66"/>
  <c r="G9" i="66"/>
  <c r="J9" i="66"/>
  <c r="K9" i="66"/>
  <c r="O9" i="66" s="1"/>
  <c r="L9" i="66"/>
  <c r="D10" i="66"/>
  <c r="F10" i="66"/>
  <c r="N10" i="66" s="1"/>
  <c r="P10" i="66" s="1"/>
  <c r="G10" i="66"/>
  <c r="J10" i="66"/>
  <c r="L10" i="66" s="1"/>
  <c r="K10" i="66"/>
  <c r="O10" i="66"/>
  <c r="F11" i="66"/>
  <c r="N11" i="66" s="1"/>
  <c r="P11" i="66" s="1"/>
  <c r="G11" i="66"/>
  <c r="J11" i="66"/>
  <c r="K11" i="66"/>
  <c r="O11" i="66" s="1"/>
  <c r="L11" i="66"/>
  <c r="D12" i="66"/>
  <c r="G12" i="66"/>
  <c r="J12" i="66"/>
  <c r="L12" i="66" s="1"/>
  <c r="K12" i="66"/>
  <c r="O12" i="66"/>
  <c r="F13" i="66"/>
  <c r="H13" i="66" s="1"/>
  <c r="G13" i="66"/>
  <c r="J13" i="66"/>
  <c r="K13" i="66"/>
  <c r="O13" i="66" s="1"/>
  <c r="L13" i="66"/>
  <c r="O14" i="66"/>
  <c r="B15" i="66"/>
  <c r="C15" i="66"/>
  <c r="B18" i="66"/>
  <c r="D3" i="66" s="1"/>
  <c r="B19" i="66"/>
  <c r="H22" i="66"/>
  <c r="G23" i="66"/>
  <c r="H23" i="66"/>
  <c r="H24" i="66"/>
  <c r="N3" i="66" l="1"/>
  <c r="P3" i="66" s="1"/>
  <c r="K37" i="65"/>
  <c r="C14" i="67"/>
  <c r="L14" i="66"/>
  <c r="N6" i="66"/>
  <c r="P6" i="66" s="1"/>
  <c r="N2" i="66"/>
  <c r="P2" i="66" s="1"/>
  <c r="D13" i="66"/>
  <c r="D9" i="66"/>
  <c r="D5" i="66"/>
  <c r="D14" i="66" s="1"/>
  <c r="N13" i="66"/>
  <c r="P13" i="66" s="1"/>
  <c r="H11" i="66"/>
  <c r="N9" i="66"/>
  <c r="P9" i="66" s="1"/>
  <c r="H7" i="66"/>
  <c r="N5" i="66"/>
  <c r="P5" i="66" s="1"/>
  <c r="N12" i="66"/>
  <c r="P12" i="66" s="1"/>
  <c r="H10" i="66"/>
  <c r="N8" i="66"/>
  <c r="P8" i="66" s="1"/>
  <c r="H6" i="66"/>
  <c r="N4" i="66"/>
  <c r="P4" i="66" s="1"/>
  <c r="D11" i="66"/>
  <c r="D7" i="66"/>
  <c r="H14" i="66" l="1"/>
  <c r="H15" i="66" s="1"/>
  <c r="P14" i="66"/>
  <c r="L15" i="66"/>
  <c r="T52" i="65"/>
  <c r="O46" i="65"/>
  <c r="O45" i="65"/>
  <c r="AJ7" i="65"/>
  <c r="AJ8" i="65" s="1"/>
  <c r="AI8" i="65"/>
  <c r="V9" i="65"/>
  <c r="U9" i="65"/>
  <c r="T68" i="65"/>
  <c r="U49" i="65" s="1"/>
  <c r="I49" i="65" s="1"/>
  <c r="K49" i="65" s="1"/>
  <c r="AE15" i="65" l="1"/>
  <c r="AE27" i="65"/>
  <c r="U50" i="65"/>
  <c r="I50" i="65" s="1"/>
  <c r="K50" i="65" s="1"/>
  <c r="I41" i="65"/>
  <c r="K41" i="65" s="1"/>
  <c r="U47" i="65"/>
  <c r="I47" i="65" s="1"/>
  <c r="K47" i="65" s="1"/>
  <c r="AE47" i="65"/>
  <c r="U46" i="65"/>
  <c r="I46" i="65" s="1"/>
  <c r="K46" i="65" s="1"/>
  <c r="I65" i="65"/>
  <c r="N49" i="65"/>
  <c r="P49" i="65" s="1"/>
  <c r="U51" i="65"/>
  <c r="I51" i="65" s="1"/>
  <c r="K51" i="65" s="1"/>
  <c r="U42" i="65"/>
  <c r="I42" i="65" s="1"/>
  <c r="K42" i="65" s="1"/>
  <c r="U40" i="65"/>
  <c r="K40" i="65" s="1"/>
  <c r="U45" i="65"/>
  <c r="I45" i="65" s="1"/>
  <c r="K45" i="65" s="1"/>
  <c r="U48" i="65"/>
  <c r="I48" i="65" s="1"/>
  <c r="K48" i="65" s="1"/>
  <c r="U44" i="65"/>
  <c r="I44" i="65" s="1"/>
  <c r="K44" i="65" s="1"/>
  <c r="U43" i="65"/>
  <c r="I43" i="65" s="1"/>
  <c r="K43" i="65" s="1"/>
  <c r="P15" i="66"/>
  <c r="P17" i="66"/>
  <c r="O42" i="65"/>
  <c r="O47" i="65"/>
  <c r="Q46" i="65"/>
  <c r="Q45" i="65"/>
  <c r="O44" i="65"/>
  <c r="O48" i="65"/>
  <c r="O50" i="65"/>
  <c r="O43" i="65"/>
  <c r="O40" i="65"/>
  <c r="O41" i="65"/>
  <c r="O51" i="65"/>
  <c r="AE14" i="65"/>
  <c r="AE13" i="65"/>
  <c r="AE8" i="65"/>
  <c r="AE12" i="65"/>
  <c r="AE19" i="65"/>
  <c r="AE11" i="65"/>
  <c r="AE18" i="65"/>
  <c r="AE10" i="65"/>
  <c r="AE17" i="65"/>
  <c r="AE9" i="65"/>
  <c r="AE16" i="65"/>
  <c r="K52" i="65" l="1"/>
  <c r="N65" i="65"/>
  <c r="K65" i="65"/>
  <c r="I67" i="65"/>
  <c r="N51" i="65"/>
  <c r="P51" i="65" s="1"/>
  <c r="N46" i="65"/>
  <c r="P46" i="65" s="1"/>
  <c r="I62" i="65"/>
  <c r="I60" i="65"/>
  <c r="N44" i="65"/>
  <c r="I61" i="65"/>
  <c r="N45" i="65"/>
  <c r="P45" i="65" s="1"/>
  <c r="N47" i="65"/>
  <c r="P47" i="65" s="1"/>
  <c r="I63" i="65"/>
  <c r="I59" i="65"/>
  <c r="P43" i="65"/>
  <c r="I56" i="65"/>
  <c r="N40" i="65"/>
  <c r="P40" i="65" s="1"/>
  <c r="I57" i="65"/>
  <c r="N41" i="65"/>
  <c r="P41" i="65" s="1"/>
  <c r="I64" i="65"/>
  <c r="N48" i="65"/>
  <c r="P48" i="65" s="1"/>
  <c r="I58" i="65"/>
  <c r="N42" i="65"/>
  <c r="P42" i="65" s="1"/>
  <c r="I66" i="65"/>
  <c r="N50" i="65"/>
  <c r="P50" i="65" s="1"/>
  <c r="O49" i="65"/>
  <c r="Q49" i="65" s="1"/>
  <c r="Q41" i="65"/>
  <c r="Q40" i="65"/>
  <c r="Q43" i="65"/>
  <c r="Q51" i="65"/>
  <c r="Q44" i="65"/>
  <c r="Q50" i="65"/>
  <c r="Q48" i="65"/>
  <c r="Q42" i="65"/>
  <c r="Q47" i="65"/>
  <c r="O60" i="65"/>
  <c r="AE55" i="65"/>
  <c r="O62" i="65"/>
  <c r="AE20" i="65"/>
  <c r="O58" i="65"/>
  <c r="AE57" i="65"/>
  <c r="O66" i="65"/>
  <c r="O56" i="65"/>
  <c r="AC47" i="65" s="1"/>
  <c r="K53" i="65" l="1"/>
  <c r="N66" i="65"/>
  <c r="K66" i="65"/>
  <c r="N56" i="65"/>
  <c r="K56" i="65"/>
  <c r="N60" i="65"/>
  <c r="K60" i="65"/>
  <c r="N59" i="65"/>
  <c r="K59" i="65"/>
  <c r="N58" i="65"/>
  <c r="K58" i="65"/>
  <c r="N63" i="65"/>
  <c r="K63" i="65"/>
  <c r="N64" i="65"/>
  <c r="K64" i="65"/>
  <c r="N67" i="65"/>
  <c r="K67" i="65"/>
  <c r="N62" i="65"/>
  <c r="K62" i="65"/>
  <c r="N57" i="65"/>
  <c r="K57" i="65"/>
  <c r="N61" i="65"/>
  <c r="K61" i="65"/>
  <c r="Q52" i="65"/>
  <c r="AE51" i="65"/>
  <c r="AE53" i="65"/>
  <c r="AE49" i="65"/>
  <c r="AE58" i="65"/>
  <c r="O67" i="65"/>
  <c r="O64" i="65"/>
  <c r="AC55" i="65" s="1"/>
  <c r="AC51" i="65"/>
  <c r="Q60" i="65"/>
  <c r="AE52" i="65"/>
  <c r="O61" i="65"/>
  <c r="AC49" i="65"/>
  <c r="Q58" i="65"/>
  <c r="Q56" i="65"/>
  <c r="AC57" i="65"/>
  <c r="Q66" i="65"/>
  <c r="AE48" i="65"/>
  <c r="O57" i="65"/>
  <c r="AE50" i="65"/>
  <c r="O59" i="65"/>
  <c r="AE56" i="65"/>
  <c r="O65" i="65"/>
  <c r="AE54" i="65"/>
  <c r="O63" i="65"/>
  <c r="AC53" i="65"/>
  <c r="Q62" i="65"/>
  <c r="X19" i="58"/>
  <c r="X32" i="58" s="1"/>
  <c r="V7" i="65" a="1"/>
  <c r="V7" i="65" s="1"/>
  <c r="U7" i="65" a="1"/>
  <c r="U7" i="65" s="1"/>
  <c r="T7" i="65" a="1"/>
  <c r="T7" i="65" s="1"/>
  <c r="AE30" i="65"/>
  <c r="AE34" i="65"/>
  <c r="E77" i="65"/>
  <c r="O77" i="65" s="1"/>
  <c r="Q77" i="65" s="1"/>
  <c r="E78" i="65"/>
  <c r="O78" i="65" s="1"/>
  <c r="Q78" i="65" s="1"/>
  <c r="E79" i="65"/>
  <c r="O79" i="65" s="1"/>
  <c r="Q79" i="65" s="1"/>
  <c r="E80" i="65"/>
  <c r="O80" i="65" s="1"/>
  <c r="Q80" i="65" s="1"/>
  <c r="E81" i="65"/>
  <c r="O81" i="65" s="1"/>
  <c r="Q81" i="65" s="1"/>
  <c r="E82" i="65"/>
  <c r="O82" i="65" s="1"/>
  <c r="Q82" i="65" s="1"/>
  <c r="E83" i="65"/>
  <c r="O83" i="65" s="1"/>
  <c r="Q83" i="65" s="1"/>
  <c r="E84" i="65"/>
  <c r="O84" i="65" s="1"/>
  <c r="Q84" i="65" s="1"/>
  <c r="E85" i="65"/>
  <c r="O85" i="65" s="1"/>
  <c r="Q85" i="65" s="1"/>
  <c r="E86" i="65"/>
  <c r="O86" i="65" s="1"/>
  <c r="Q86" i="65" s="1"/>
  <c r="E87" i="65"/>
  <c r="O87" i="65" s="1"/>
  <c r="Q87" i="65" s="1"/>
  <c r="E76" i="65"/>
  <c r="O76" i="65" s="1"/>
  <c r="Q76" i="65" s="1"/>
  <c r="D77" i="65"/>
  <c r="P77" i="65" s="1"/>
  <c r="D78" i="65"/>
  <c r="N78" i="65" s="1"/>
  <c r="P78" i="65" s="1"/>
  <c r="D79" i="65"/>
  <c r="N79" i="65" s="1"/>
  <c r="P79" i="65" s="1"/>
  <c r="D80" i="65"/>
  <c r="N80" i="65" s="1"/>
  <c r="P80" i="65" s="1"/>
  <c r="D81" i="65"/>
  <c r="N81" i="65" s="1"/>
  <c r="P81" i="65" s="1"/>
  <c r="D82" i="65"/>
  <c r="N82" i="65" s="1"/>
  <c r="P82" i="65" s="1"/>
  <c r="D83" i="65"/>
  <c r="N83" i="65" s="1"/>
  <c r="P83" i="65" s="1"/>
  <c r="D84" i="65"/>
  <c r="N84" i="65" s="1"/>
  <c r="P84" i="65" s="1"/>
  <c r="D85" i="65"/>
  <c r="N85" i="65" s="1"/>
  <c r="P85" i="65" s="1"/>
  <c r="D86" i="65"/>
  <c r="N86" i="65" s="1"/>
  <c r="P86" i="65" s="1"/>
  <c r="D87" i="65"/>
  <c r="N87" i="65" s="1"/>
  <c r="P87" i="65" s="1"/>
  <c r="D76" i="65"/>
  <c r="N76" i="65" s="1"/>
  <c r="P76" i="65" s="1"/>
  <c r="E97" i="65"/>
  <c r="O97" i="65" s="1"/>
  <c r="Q97" i="65" s="1"/>
  <c r="E98" i="65"/>
  <c r="O98" i="65" s="1"/>
  <c r="Q98" i="65" s="1"/>
  <c r="E99" i="65"/>
  <c r="O99" i="65" s="1"/>
  <c r="Q99" i="65" s="1"/>
  <c r="E100" i="65"/>
  <c r="O100" i="65" s="1"/>
  <c r="Q100" i="65" s="1"/>
  <c r="E101" i="65"/>
  <c r="O101" i="65" s="1"/>
  <c r="Q101" i="65" s="1"/>
  <c r="E102" i="65"/>
  <c r="O102" i="65" s="1"/>
  <c r="Q102" i="65" s="1"/>
  <c r="E103" i="65"/>
  <c r="O103" i="65" s="1"/>
  <c r="Q103" i="65" s="1"/>
  <c r="E104" i="65"/>
  <c r="O104" i="65" s="1"/>
  <c r="Q104" i="65" s="1"/>
  <c r="E105" i="65"/>
  <c r="O105" i="65" s="1"/>
  <c r="Q105" i="65" s="1"/>
  <c r="E106" i="65"/>
  <c r="O106" i="65" s="1"/>
  <c r="Q106" i="65" s="1"/>
  <c r="E107" i="65"/>
  <c r="O107" i="65" s="1"/>
  <c r="Q107" i="65" s="1"/>
  <c r="D97" i="65"/>
  <c r="N97" i="65" s="1"/>
  <c r="P97" i="65" s="1"/>
  <c r="D98" i="65"/>
  <c r="N98" i="65" s="1"/>
  <c r="P98" i="65" s="1"/>
  <c r="D99" i="65"/>
  <c r="N99" i="65" s="1"/>
  <c r="P99" i="65" s="1"/>
  <c r="D100" i="65"/>
  <c r="N100" i="65" s="1"/>
  <c r="P100" i="65" s="1"/>
  <c r="D101" i="65"/>
  <c r="N101" i="65" s="1"/>
  <c r="P101" i="65" s="1"/>
  <c r="D102" i="65"/>
  <c r="N102" i="65" s="1"/>
  <c r="P102" i="65" s="1"/>
  <c r="D103" i="65"/>
  <c r="N103" i="65" s="1"/>
  <c r="P103" i="65" s="1"/>
  <c r="D104" i="65"/>
  <c r="N104" i="65" s="1"/>
  <c r="P104" i="65" s="1"/>
  <c r="D105" i="65"/>
  <c r="N105" i="65" s="1"/>
  <c r="P105" i="65" s="1"/>
  <c r="D106" i="65"/>
  <c r="N106" i="65" s="1"/>
  <c r="P106" i="65" s="1"/>
  <c r="D107" i="65"/>
  <c r="N107" i="65" s="1"/>
  <c r="P107" i="65" s="1"/>
  <c r="E96" i="65"/>
  <c r="O96" i="65" s="1"/>
  <c r="Q96" i="65" s="1"/>
  <c r="D96" i="65"/>
  <c r="N96" i="65" s="1"/>
  <c r="P96" i="65" s="1"/>
  <c r="O9" i="65"/>
  <c r="O10" i="65"/>
  <c r="O11" i="65"/>
  <c r="O12" i="65"/>
  <c r="O13" i="65"/>
  <c r="O14" i="65"/>
  <c r="O15" i="65"/>
  <c r="O16" i="65"/>
  <c r="O17" i="65"/>
  <c r="O18" i="65"/>
  <c r="O19" i="65"/>
  <c r="O8" i="65"/>
  <c r="N9" i="65"/>
  <c r="N10" i="65"/>
  <c r="N11" i="65"/>
  <c r="N12" i="65"/>
  <c r="N13" i="65"/>
  <c r="N14" i="65"/>
  <c r="N15" i="65"/>
  <c r="N16" i="65"/>
  <c r="N17" i="65"/>
  <c r="N18" i="65"/>
  <c r="N19" i="65"/>
  <c r="N8" i="65"/>
  <c r="F36" i="45"/>
  <c r="K68" i="65" l="1"/>
  <c r="K69" i="65" s="1"/>
  <c r="AW7" i="65"/>
  <c r="AV8" i="65"/>
  <c r="AW8" i="65" s="1"/>
  <c r="P52" i="65"/>
  <c r="R52" i="65" s="1"/>
  <c r="Q67" i="65"/>
  <c r="AC58" i="65"/>
  <c r="Q64" i="65"/>
  <c r="Q8" i="65"/>
  <c r="AC8" i="65"/>
  <c r="Q11" i="65"/>
  <c r="AC11" i="65"/>
  <c r="P14" i="65"/>
  <c r="AB14" i="65"/>
  <c r="Q18" i="65"/>
  <c r="AC18" i="65"/>
  <c r="Q10" i="65"/>
  <c r="AC10" i="65"/>
  <c r="Q12" i="65"/>
  <c r="AC12" i="65"/>
  <c r="P8" i="65"/>
  <c r="AB8" i="65"/>
  <c r="P12" i="65"/>
  <c r="AB12" i="65"/>
  <c r="Q16" i="65"/>
  <c r="AC16" i="65"/>
  <c r="Q63" i="65"/>
  <c r="AC54" i="65"/>
  <c r="Q57" i="65"/>
  <c r="AC48" i="65"/>
  <c r="Q61" i="65"/>
  <c r="AC52" i="65"/>
  <c r="Q19" i="65"/>
  <c r="AC19" i="65"/>
  <c r="Q17" i="65"/>
  <c r="AC17" i="65"/>
  <c r="P11" i="65"/>
  <c r="AB11" i="65"/>
  <c r="N24" i="65"/>
  <c r="AB24" i="65" s="1"/>
  <c r="AE59" i="65"/>
  <c r="P16" i="65"/>
  <c r="AB16" i="65"/>
  <c r="P15" i="65"/>
  <c r="AB15" i="65"/>
  <c r="P19" i="65"/>
  <c r="AB19" i="65"/>
  <c r="Q15" i="65"/>
  <c r="AC15" i="65"/>
  <c r="P18" i="65"/>
  <c r="AB18" i="65"/>
  <c r="P10" i="65"/>
  <c r="AB10" i="65"/>
  <c r="Q14" i="65"/>
  <c r="AC14" i="65"/>
  <c r="Q65" i="65"/>
  <c r="AC56" i="65"/>
  <c r="Q59" i="65"/>
  <c r="P13" i="65"/>
  <c r="AB13" i="65"/>
  <c r="Q9" i="65"/>
  <c r="AC9" i="65"/>
  <c r="P17" i="65"/>
  <c r="AB17" i="65"/>
  <c r="P9" i="65"/>
  <c r="AB9" i="65"/>
  <c r="Q13" i="65"/>
  <c r="AC13" i="65"/>
  <c r="X35" i="58"/>
  <c r="P108" i="65"/>
  <c r="Q108" i="65"/>
  <c r="P88" i="65"/>
  <c r="Q88" i="65"/>
  <c r="O34" i="65"/>
  <c r="AE35" i="65"/>
  <c r="O30" i="65"/>
  <c r="AE28" i="65"/>
  <c r="AE32" i="65"/>
  <c r="N32" i="65"/>
  <c r="N29" i="65"/>
  <c r="N28" i="65"/>
  <c r="N27" i="65"/>
  <c r="AB27" i="65" s="1"/>
  <c r="N34" i="65"/>
  <c r="N26" i="65"/>
  <c r="AE24" i="65"/>
  <c r="CR30" i="64"/>
  <c r="CQ30" i="64"/>
  <c r="CP30" i="64"/>
  <c r="CO30" i="64"/>
  <c r="CO41" i="64" s="1"/>
  <c r="CN30" i="64"/>
  <c r="CN41" i="64" s="1"/>
  <c r="CJ30" i="64"/>
  <c r="CI30" i="64"/>
  <c r="CH30" i="64"/>
  <c r="CG30" i="64"/>
  <c r="CG41" i="64" s="1"/>
  <c r="CF30" i="64"/>
  <c r="CF41" i="64" s="1"/>
  <c r="CB30" i="64"/>
  <c r="CA30" i="64"/>
  <c r="BZ30" i="64"/>
  <c r="BY30" i="64"/>
  <c r="BY41" i="64" s="1"/>
  <c r="BX30" i="64"/>
  <c r="BX41" i="64" s="1"/>
  <c r="BT30" i="64"/>
  <c r="BS30" i="64"/>
  <c r="BR30" i="64"/>
  <c r="BQ30" i="64"/>
  <c r="BQ41" i="64" s="1"/>
  <c r="BP30" i="64"/>
  <c r="BP41" i="64" s="1"/>
  <c r="BL30" i="64"/>
  <c r="BK30" i="64"/>
  <c r="BJ30" i="64"/>
  <c r="BI30" i="64"/>
  <c r="BI41" i="64" s="1"/>
  <c r="BH30" i="64"/>
  <c r="BH41" i="64" s="1"/>
  <c r="BD30" i="64"/>
  <c r="BC30" i="64"/>
  <c r="BB30" i="64"/>
  <c r="BA30" i="64"/>
  <c r="BA41" i="64" s="1"/>
  <c r="AZ30" i="64"/>
  <c r="AZ41" i="64" s="1"/>
  <c r="AV30" i="64"/>
  <c r="AU30" i="64"/>
  <c r="AT30" i="64"/>
  <c r="AS30" i="64"/>
  <c r="AS41" i="64" s="1"/>
  <c r="AR30" i="64"/>
  <c r="AR41" i="64" s="1"/>
  <c r="AN30" i="64"/>
  <c r="AM30" i="64"/>
  <c r="AL30" i="64"/>
  <c r="AK30" i="64"/>
  <c r="AJ30" i="64"/>
  <c r="AF30" i="64"/>
  <c r="AE30" i="64"/>
  <c r="AD30" i="64"/>
  <c r="AC30" i="64"/>
  <c r="AB30" i="64"/>
  <c r="CR29" i="64"/>
  <c r="CQ29" i="64"/>
  <c r="CP29" i="64"/>
  <c r="CO29" i="64"/>
  <c r="CO40" i="64" s="1"/>
  <c r="CN29" i="64"/>
  <c r="CN40" i="64" s="1"/>
  <c r="CJ29" i="64"/>
  <c r="CI29" i="64"/>
  <c r="CH29" i="64"/>
  <c r="CG29" i="64"/>
  <c r="CG40" i="64" s="1"/>
  <c r="CF29" i="64"/>
  <c r="CF40" i="64" s="1"/>
  <c r="CB29" i="64"/>
  <c r="CA29" i="64"/>
  <c r="BZ29" i="64"/>
  <c r="BY29" i="64"/>
  <c r="BY40" i="64" s="1"/>
  <c r="BX29" i="64"/>
  <c r="BX40" i="64" s="1"/>
  <c r="BT29" i="64"/>
  <c r="BS29" i="64"/>
  <c r="BR29" i="64"/>
  <c r="BQ29" i="64"/>
  <c r="BQ40" i="64" s="1"/>
  <c r="BP29" i="64"/>
  <c r="BP40" i="64" s="1"/>
  <c r="BL29" i="64"/>
  <c r="BK29" i="64"/>
  <c r="BJ29" i="64"/>
  <c r="BI29" i="64"/>
  <c r="BI40" i="64" s="1"/>
  <c r="BH29" i="64"/>
  <c r="BH40" i="64" s="1"/>
  <c r="BD29" i="64"/>
  <c r="BC29" i="64"/>
  <c r="BB29" i="64"/>
  <c r="BA29" i="64"/>
  <c r="BA40" i="64" s="1"/>
  <c r="AZ29" i="64"/>
  <c r="AZ40" i="64" s="1"/>
  <c r="AV29" i="64"/>
  <c r="AU29" i="64"/>
  <c r="AT29" i="64"/>
  <c r="AS29" i="64"/>
  <c r="AS40" i="64" s="1"/>
  <c r="AR29" i="64"/>
  <c r="AR40" i="64" s="1"/>
  <c r="AN29" i="64"/>
  <c r="AM29" i="64"/>
  <c r="AL29" i="64"/>
  <c r="AK29" i="64"/>
  <c r="AJ29" i="64"/>
  <c r="AF29" i="64"/>
  <c r="AE29" i="64"/>
  <c r="AD29" i="64"/>
  <c r="AC29" i="64"/>
  <c r="AB29" i="64"/>
  <c r="CR28" i="64"/>
  <c r="CQ28" i="64"/>
  <c r="CP28" i="64"/>
  <c r="CO28" i="64"/>
  <c r="CO39" i="64" s="1"/>
  <c r="CN28" i="64"/>
  <c r="CN39" i="64" s="1"/>
  <c r="CJ28" i="64"/>
  <c r="CI28" i="64"/>
  <c r="CH28" i="64"/>
  <c r="CG28" i="64"/>
  <c r="CG39" i="64" s="1"/>
  <c r="CB28" i="64"/>
  <c r="CA28" i="64"/>
  <c r="BZ28" i="64"/>
  <c r="BY28" i="64"/>
  <c r="BY39" i="64" s="1"/>
  <c r="BX28" i="64"/>
  <c r="BX39" i="64" s="1"/>
  <c r="BT28" i="64"/>
  <c r="BS28" i="64"/>
  <c r="BR28" i="64"/>
  <c r="BQ28" i="64"/>
  <c r="BQ39" i="64" s="1"/>
  <c r="BP28" i="64"/>
  <c r="BP39" i="64" s="1"/>
  <c r="BL28" i="64"/>
  <c r="BK28" i="64"/>
  <c r="BJ28" i="64"/>
  <c r="BI28" i="64"/>
  <c r="BI39" i="64" s="1"/>
  <c r="BH28" i="64"/>
  <c r="BH39" i="64" s="1"/>
  <c r="BD28" i="64"/>
  <c r="BC28" i="64"/>
  <c r="BB28" i="64"/>
  <c r="BA28" i="64"/>
  <c r="BA39" i="64" s="1"/>
  <c r="AZ28" i="64"/>
  <c r="AZ39" i="64" s="1"/>
  <c r="AV28" i="64"/>
  <c r="AU28" i="64"/>
  <c r="AT28" i="64"/>
  <c r="AS28" i="64"/>
  <c r="AS39" i="64" s="1"/>
  <c r="AR28" i="64"/>
  <c r="AR39" i="64" s="1"/>
  <c r="AN28" i="64"/>
  <c r="AM28" i="64"/>
  <c r="AL28" i="64"/>
  <c r="AK28" i="64"/>
  <c r="AJ28" i="64"/>
  <c r="AF28" i="64"/>
  <c r="AE28" i="64"/>
  <c r="AD28" i="64"/>
  <c r="AC28" i="64"/>
  <c r="AB28" i="64"/>
  <c r="CR27" i="64"/>
  <c r="CQ27" i="64"/>
  <c r="CP27" i="64"/>
  <c r="CO27" i="64"/>
  <c r="CO38" i="64" s="1"/>
  <c r="CN27" i="64"/>
  <c r="CN38" i="64" s="1"/>
  <c r="CJ27" i="64"/>
  <c r="CI27" i="64"/>
  <c r="CH27" i="64"/>
  <c r="CG27" i="64"/>
  <c r="CG38" i="64" s="1"/>
  <c r="CB27" i="64"/>
  <c r="CA27" i="64"/>
  <c r="BZ27" i="64"/>
  <c r="BY27" i="64"/>
  <c r="BY38" i="64" s="1"/>
  <c r="BX27" i="64"/>
  <c r="BX38" i="64" s="1"/>
  <c r="BT27" i="64"/>
  <c r="BS27" i="64"/>
  <c r="BR27" i="64"/>
  <c r="BQ27" i="64"/>
  <c r="BQ38" i="64" s="1"/>
  <c r="BP27" i="64"/>
  <c r="BL27" i="64"/>
  <c r="BK27" i="64"/>
  <c r="BJ27" i="64"/>
  <c r="BI27" i="64"/>
  <c r="BI38" i="64" s="1"/>
  <c r="BH27" i="64"/>
  <c r="BH38" i="64" s="1"/>
  <c r="BD27" i="64"/>
  <c r="BC27" i="64"/>
  <c r="BB27" i="64"/>
  <c r="BA27" i="64"/>
  <c r="BA38" i="64" s="1"/>
  <c r="AZ27" i="64"/>
  <c r="AZ38" i="64" s="1"/>
  <c r="AV27" i="64"/>
  <c r="AU27" i="64"/>
  <c r="AT27" i="64"/>
  <c r="AS27" i="64"/>
  <c r="AS38" i="64" s="1"/>
  <c r="AR27" i="64"/>
  <c r="AR38" i="64" s="1"/>
  <c r="AN27" i="64"/>
  <c r="AM27" i="64"/>
  <c r="AL27" i="64"/>
  <c r="AK27" i="64"/>
  <c r="AJ27" i="64"/>
  <c r="AF27" i="64"/>
  <c r="AE27" i="64"/>
  <c r="AD27" i="64"/>
  <c r="AC27" i="64"/>
  <c r="AB27" i="64"/>
  <c r="CR26" i="64"/>
  <c r="CQ26" i="64"/>
  <c r="CP26" i="64"/>
  <c r="CO26" i="64"/>
  <c r="CO37" i="64" s="1"/>
  <c r="CN26" i="64"/>
  <c r="CN37" i="64" s="1"/>
  <c r="CJ26" i="64"/>
  <c r="CI26" i="64"/>
  <c r="CH26" i="64"/>
  <c r="CG26" i="64"/>
  <c r="CG37" i="64" s="1"/>
  <c r="CB26" i="64"/>
  <c r="CA26" i="64"/>
  <c r="BZ26" i="64"/>
  <c r="BY26" i="64"/>
  <c r="BY37" i="64" s="1"/>
  <c r="BX26" i="64"/>
  <c r="BX37" i="64" s="1"/>
  <c r="BT26" i="64"/>
  <c r="BS26" i="64"/>
  <c r="BR26" i="64"/>
  <c r="BQ26" i="64"/>
  <c r="BQ37" i="64" s="1"/>
  <c r="BP26" i="64"/>
  <c r="BP37" i="64" s="1"/>
  <c r="BL26" i="64"/>
  <c r="BK26" i="64"/>
  <c r="BJ26" i="64"/>
  <c r="BI26" i="64"/>
  <c r="BI37" i="64" s="1"/>
  <c r="BH26" i="64"/>
  <c r="BH37" i="64" s="1"/>
  <c r="BD26" i="64"/>
  <c r="BC26" i="64"/>
  <c r="BB26" i="64"/>
  <c r="BA26" i="64"/>
  <c r="BA37" i="64" s="1"/>
  <c r="AZ26" i="64"/>
  <c r="AZ37" i="64" s="1"/>
  <c r="AV26" i="64"/>
  <c r="AU26" i="64"/>
  <c r="AT26" i="64"/>
  <c r="AS26" i="64"/>
  <c r="AS37" i="64" s="1"/>
  <c r="AR26" i="64"/>
  <c r="AR37" i="64" s="1"/>
  <c r="AN26" i="64"/>
  <c r="AM26" i="64"/>
  <c r="AL26" i="64"/>
  <c r="AK26" i="64"/>
  <c r="AJ26" i="64"/>
  <c r="AF26" i="64"/>
  <c r="AE26" i="64"/>
  <c r="AD26" i="64"/>
  <c r="AC26" i="64"/>
  <c r="AB26" i="64"/>
  <c r="CR25" i="64"/>
  <c r="CQ25" i="64"/>
  <c r="CP25" i="64"/>
  <c r="CO25" i="64"/>
  <c r="CO36" i="64" s="1"/>
  <c r="CN25" i="64"/>
  <c r="CN36" i="64" s="1"/>
  <c r="CJ25" i="64"/>
  <c r="CI25" i="64"/>
  <c r="CH25" i="64"/>
  <c r="CB25" i="64"/>
  <c r="CA25" i="64"/>
  <c r="BZ25" i="64"/>
  <c r="BY25" i="64"/>
  <c r="BY36" i="64" s="1"/>
  <c r="BX25" i="64"/>
  <c r="BX36" i="64" s="1"/>
  <c r="BT25" i="64"/>
  <c r="BS25" i="64"/>
  <c r="BR25" i="64"/>
  <c r="BQ25" i="64"/>
  <c r="BQ36" i="64" s="1"/>
  <c r="BP25" i="64"/>
  <c r="BP36" i="64" s="1"/>
  <c r="BL25" i="64"/>
  <c r="BK25" i="64"/>
  <c r="BJ25" i="64"/>
  <c r="BI25" i="64"/>
  <c r="BI36" i="64" s="1"/>
  <c r="BH25" i="64"/>
  <c r="BH36" i="64" s="1"/>
  <c r="BD25" i="64"/>
  <c r="BC25" i="64"/>
  <c r="BB25" i="64"/>
  <c r="BA25" i="64"/>
  <c r="BA36" i="64" s="1"/>
  <c r="AZ25" i="64"/>
  <c r="AZ36" i="64" s="1"/>
  <c r="AV25" i="64"/>
  <c r="AU25" i="64"/>
  <c r="AT25" i="64"/>
  <c r="AS25" i="64"/>
  <c r="AS36" i="64" s="1"/>
  <c r="AR25" i="64"/>
  <c r="AR36" i="64" s="1"/>
  <c r="AN25" i="64"/>
  <c r="AM25" i="64"/>
  <c r="AL25" i="64"/>
  <c r="AK25" i="64"/>
  <c r="AJ25" i="64"/>
  <c r="AF25" i="64"/>
  <c r="AE25" i="64"/>
  <c r="AD25" i="64"/>
  <c r="AC25" i="64"/>
  <c r="AB25" i="64"/>
  <c r="U25" i="64" s="1"/>
  <c r="CR24" i="64"/>
  <c r="CQ24" i="64"/>
  <c r="CP24" i="64"/>
  <c r="CO24" i="64"/>
  <c r="CO35" i="64" s="1"/>
  <c r="CN24" i="64"/>
  <c r="CN35" i="64" s="1"/>
  <c r="CJ24" i="64"/>
  <c r="CI24" i="64"/>
  <c r="CH24" i="64"/>
  <c r="CG24" i="64"/>
  <c r="CG35" i="64" s="1"/>
  <c r="CF24" i="64"/>
  <c r="CF35" i="64" s="1"/>
  <c r="CB24" i="64"/>
  <c r="CA24" i="64"/>
  <c r="BZ24" i="64"/>
  <c r="BY24" i="64"/>
  <c r="BY35" i="64" s="1"/>
  <c r="BX24" i="64"/>
  <c r="BX35" i="64" s="1"/>
  <c r="BT24" i="64"/>
  <c r="BS24" i="64"/>
  <c r="BR24" i="64"/>
  <c r="BQ24" i="64"/>
  <c r="BQ35" i="64" s="1"/>
  <c r="BP24" i="64"/>
  <c r="BP35" i="64" s="1"/>
  <c r="BL24" i="64"/>
  <c r="BK24" i="64"/>
  <c r="BJ24" i="64"/>
  <c r="BI24" i="64"/>
  <c r="BI35" i="64" s="1"/>
  <c r="BH24" i="64"/>
  <c r="BH35" i="64" s="1"/>
  <c r="BD24" i="64"/>
  <c r="BC24" i="64"/>
  <c r="BB24" i="64"/>
  <c r="BA24" i="64"/>
  <c r="BA35" i="64" s="1"/>
  <c r="AZ24" i="64"/>
  <c r="AZ35" i="64" s="1"/>
  <c r="AV24" i="64"/>
  <c r="AU24" i="64"/>
  <c r="AT24" i="64"/>
  <c r="AS24" i="64"/>
  <c r="AS35" i="64" s="1"/>
  <c r="AR24" i="64"/>
  <c r="AR35" i="64" s="1"/>
  <c r="AN24" i="64"/>
  <c r="AM24" i="64"/>
  <c r="AL24" i="64"/>
  <c r="AK24" i="64"/>
  <c r="AJ24" i="64"/>
  <c r="AF24" i="64"/>
  <c r="AE24" i="64"/>
  <c r="AD24" i="64"/>
  <c r="AC24" i="64"/>
  <c r="AB24" i="64"/>
  <c r="CM2" i="64"/>
  <c r="L23" i="64"/>
  <c r="CE2" i="64" s="1"/>
  <c r="K23" i="64"/>
  <c r="BW2" i="64" s="1"/>
  <c r="J23" i="64"/>
  <c r="BO2" i="64" s="1"/>
  <c r="I23" i="64"/>
  <c r="BG2" i="64" s="1"/>
  <c r="H23" i="64"/>
  <c r="AY2" i="64" s="1"/>
  <c r="G23" i="64"/>
  <c r="AQ2" i="64" s="1"/>
  <c r="D23" i="64"/>
  <c r="AI2" i="64" s="1"/>
  <c r="C23" i="64"/>
  <c r="AA2" i="64" s="1"/>
  <c r="U26" i="64" l="1"/>
  <c r="AT7" i="65"/>
  <c r="AU7" i="65" s="1"/>
  <c r="BP38" i="64"/>
  <c r="CS28" i="64"/>
  <c r="M28" i="64" s="1"/>
  <c r="CC30" i="64"/>
  <c r="K30" i="64" s="1"/>
  <c r="BM24" i="64"/>
  <c r="I24" i="64" s="1"/>
  <c r="CS25" i="64"/>
  <c r="M25" i="64" s="1"/>
  <c r="BE27" i="64"/>
  <c r="H27" i="64" s="1"/>
  <c r="AW28" i="64"/>
  <c r="AO29" i="64"/>
  <c r="D29" i="64" s="1"/>
  <c r="CS30" i="64"/>
  <c r="M30" i="64" s="1"/>
  <c r="BM29" i="64"/>
  <c r="I29" i="64" s="1"/>
  <c r="BM26" i="64"/>
  <c r="CS27" i="64"/>
  <c r="M27" i="64" s="1"/>
  <c r="BM28" i="64"/>
  <c r="I28" i="64" s="1"/>
  <c r="CS29" i="64"/>
  <c r="M29" i="64" s="1"/>
  <c r="CK30" i="64"/>
  <c r="L30" i="64" s="1"/>
  <c r="CS24" i="64"/>
  <c r="M24" i="64" s="1"/>
  <c r="CS26" i="64"/>
  <c r="M26" i="64" s="1"/>
  <c r="BM30" i="64"/>
  <c r="BM25" i="64"/>
  <c r="I25" i="64" s="1"/>
  <c r="BM27" i="64"/>
  <c r="I27" i="64" s="1"/>
  <c r="CK29" i="64"/>
  <c r="L29" i="64" s="1"/>
  <c r="CK24" i="64"/>
  <c r="L24" i="64" s="1"/>
  <c r="CC24" i="64"/>
  <c r="K24" i="64" s="1"/>
  <c r="CC25" i="64"/>
  <c r="K25" i="64" s="1"/>
  <c r="CC27" i="64"/>
  <c r="K27" i="64" s="1"/>
  <c r="CC29" i="64"/>
  <c r="K29" i="64" s="1"/>
  <c r="CC26" i="64"/>
  <c r="K26" i="64" s="1"/>
  <c r="CC28" i="64"/>
  <c r="K28" i="64" s="1"/>
  <c r="AG30" i="64"/>
  <c r="BE24" i="64"/>
  <c r="H24" i="64" s="1"/>
  <c r="AW25" i="64"/>
  <c r="G25" i="64" s="1"/>
  <c r="AO26" i="64"/>
  <c r="D26" i="64" s="1"/>
  <c r="AG27" i="64"/>
  <c r="C27" i="64" s="1"/>
  <c r="BE25" i="64"/>
  <c r="AW26" i="64"/>
  <c r="G26" i="64" s="1"/>
  <c r="AO27" i="64"/>
  <c r="D27" i="64" s="1"/>
  <c r="AG28" i="64"/>
  <c r="AO24" i="64"/>
  <c r="D24" i="64" s="1"/>
  <c r="AG25" i="64"/>
  <c r="BE30" i="64"/>
  <c r="BE29" i="64"/>
  <c r="H29" i="64" s="1"/>
  <c r="AW30" i="64"/>
  <c r="BE26" i="64"/>
  <c r="AW27" i="64"/>
  <c r="G27" i="64" s="1"/>
  <c r="AO28" i="64"/>
  <c r="D28" i="64" s="1"/>
  <c r="AG29" i="64"/>
  <c r="C29" i="64" s="1"/>
  <c r="AG24" i="64"/>
  <c r="AW24" i="64"/>
  <c r="G24" i="64" s="1"/>
  <c r="AO25" i="64"/>
  <c r="D25" i="64" s="1"/>
  <c r="AG26" i="64"/>
  <c r="BE28" i="64"/>
  <c r="H28" i="64" s="1"/>
  <c r="AW29" i="64"/>
  <c r="G29" i="64" s="1"/>
  <c r="AO30" i="64"/>
  <c r="Q68" i="65"/>
  <c r="Q20" i="65"/>
  <c r="P20" i="65"/>
  <c r="P34" i="65"/>
  <c r="AB34" i="65"/>
  <c r="Q30" i="65"/>
  <c r="AC30" i="65"/>
  <c r="P27" i="65"/>
  <c r="N30" i="65"/>
  <c r="O25" i="65"/>
  <c r="AE25" i="65"/>
  <c r="P28" i="65"/>
  <c r="AB28" i="65"/>
  <c r="Q34" i="65"/>
  <c r="AC34" i="65"/>
  <c r="O29" i="65"/>
  <c r="AE29" i="65"/>
  <c r="P29" i="65"/>
  <c r="AB29" i="65"/>
  <c r="N25" i="65"/>
  <c r="P32" i="65"/>
  <c r="AB32" i="65"/>
  <c r="N33" i="65"/>
  <c r="O31" i="65"/>
  <c r="AE31" i="65"/>
  <c r="N31" i="65"/>
  <c r="P24" i="65"/>
  <c r="N35" i="65"/>
  <c r="O26" i="65"/>
  <c r="AE26" i="65"/>
  <c r="P26" i="65"/>
  <c r="AB26" i="65"/>
  <c r="O33" i="65"/>
  <c r="AE33" i="65"/>
  <c r="R108" i="65"/>
  <c r="R88" i="65"/>
  <c r="O32" i="65"/>
  <c r="O35" i="65"/>
  <c r="O27" i="65"/>
  <c r="AC27" i="65" s="1"/>
  <c r="O28" i="65"/>
  <c r="O24" i="65"/>
  <c r="BU25" i="64"/>
  <c r="AJ31" i="64"/>
  <c r="BK31" i="64"/>
  <c r="AM31" i="64"/>
  <c r="BH31" i="64"/>
  <c r="BH42" i="64" s="1"/>
  <c r="CB31" i="64"/>
  <c r="BU27" i="64"/>
  <c r="AL31" i="64"/>
  <c r="BI31" i="64"/>
  <c r="BI42" i="64" s="1"/>
  <c r="CQ31" i="64"/>
  <c r="CA31" i="64"/>
  <c r="BU28" i="64"/>
  <c r="AV31" i="64"/>
  <c r="BR31" i="64"/>
  <c r="CN31" i="64"/>
  <c r="CN42" i="64" s="1"/>
  <c r="BU26" i="64"/>
  <c r="AB31" i="64"/>
  <c r="AN31" i="64"/>
  <c r="BJ31" i="64"/>
  <c r="AC31" i="64"/>
  <c r="BS31" i="64"/>
  <c r="BA31" i="64"/>
  <c r="BA42" i="64" s="1"/>
  <c r="BU24" i="64"/>
  <c r="J24" i="64" s="1"/>
  <c r="AD31" i="64"/>
  <c r="AS31" i="64"/>
  <c r="AS42" i="64" s="1"/>
  <c r="BT31" i="64"/>
  <c r="BB31" i="64"/>
  <c r="BX31" i="64"/>
  <c r="BX42" i="64" s="1"/>
  <c r="CR31" i="64"/>
  <c r="AE31" i="64"/>
  <c r="AU31" i="64"/>
  <c r="AF31" i="64"/>
  <c r="CO31" i="64"/>
  <c r="CO42" i="64" s="1"/>
  <c r="CP31" i="64"/>
  <c r="AR31" i="64"/>
  <c r="AR42" i="64" s="1"/>
  <c r="BL31" i="64"/>
  <c r="CH31" i="64"/>
  <c r="BY31" i="64"/>
  <c r="BY42" i="64" s="1"/>
  <c r="CI31" i="64"/>
  <c r="BU30" i="64"/>
  <c r="AK31" i="64"/>
  <c r="AT31" i="64"/>
  <c r="BD31" i="64"/>
  <c r="BP31" i="64"/>
  <c r="BZ31" i="64"/>
  <c r="CJ31" i="64"/>
  <c r="BU29" i="64"/>
  <c r="J29" i="64" s="1"/>
  <c r="AZ31" i="64"/>
  <c r="AZ42" i="64" s="1"/>
  <c r="BQ31" i="64"/>
  <c r="BQ42" i="64" s="1"/>
  <c r="BC31" i="64"/>
  <c r="U27" i="64" l="1"/>
  <c r="U31" i="64"/>
  <c r="J27" i="64"/>
  <c r="EB11" i="64"/>
  <c r="R57" i="64" s="1"/>
  <c r="R58" i="64" s="1"/>
  <c r="R59" i="64" s="1"/>
  <c r="BV28" i="64"/>
  <c r="CV10" i="64" s="1"/>
  <c r="CV28" i="64" s="1"/>
  <c r="G28" i="64"/>
  <c r="BF28" i="64"/>
  <c r="C28" i="64"/>
  <c r="AP28" i="64"/>
  <c r="BP42" i="64"/>
  <c r="BV25" i="64"/>
  <c r="CF4" i="64" s="1"/>
  <c r="EB27" i="64"/>
  <c r="DL11" i="64"/>
  <c r="CV11" i="64"/>
  <c r="CF11" i="64"/>
  <c r="J28" i="64"/>
  <c r="C25" i="64"/>
  <c r="AP25" i="64"/>
  <c r="C26" i="64"/>
  <c r="AP26" i="64"/>
  <c r="I26" i="64"/>
  <c r="BV26" i="64"/>
  <c r="H25" i="64"/>
  <c r="BF25" i="64"/>
  <c r="H26" i="64"/>
  <c r="BF26" i="64"/>
  <c r="X28" i="58"/>
  <c r="Z28" i="58" s="1"/>
  <c r="CS31" i="64"/>
  <c r="BM31" i="64"/>
  <c r="J25" i="64"/>
  <c r="J26" i="64"/>
  <c r="CC31" i="64"/>
  <c r="K31" i="64" s="1"/>
  <c r="BE31" i="64"/>
  <c r="AW31" i="64"/>
  <c r="AO31" i="64"/>
  <c r="D31" i="64" s="1"/>
  <c r="F116" i="64" s="1"/>
  <c r="C24" i="64"/>
  <c r="AG31" i="64"/>
  <c r="R20" i="65"/>
  <c r="AE36" i="65"/>
  <c r="P33" i="65"/>
  <c r="AB33" i="65"/>
  <c r="Q29" i="65"/>
  <c r="AC29" i="65"/>
  <c r="P30" i="65"/>
  <c r="AB30" i="65"/>
  <c r="Q24" i="65"/>
  <c r="AC24" i="65"/>
  <c r="P35" i="65"/>
  <c r="AB35" i="65"/>
  <c r="Q35" i="65"/>
  <c r="AC35" i="65"/>
  <c r="P31" i="65"/>
  <c r="AB31" i="65"/>
  <c r="AB25" i="65"/>
  <c r="P25" i="65"/>
  <c r="Q28" i="65"/>
  <c r="AC28" i="65"/>
  <c r="Q33" i="65"/>
  <c r="AC33" i="65"/>
  <c r="Q27" i="65"/>
  <c r="Q32" i="65"/>
  <c r="AC32" i="65"/>
  <c r="Q26" i="65"/>
  <c r="AC26" i="65"/>
  <c r="Q31" i="65"/>
  <c r="AC31" i="65"/>
  <c r="Q25" i="65"/>
  <c r="AC25" i="65"/>
  <c r="BC46" i="64"/>
  <c r="AT46" i="64"/>
  <c r="CP46" i="64"/>
  <c r="CR46" i="64"/>
  <c r="BD46" i="64"/>
  <c r="AU46" i="64"/>
  <c r="H30" i="64"/>
  <c r="AK46" i="64"/>
  <c r="CH46" i="64"/>
  <c r="BT46" i="64"/>
  <c r="BR46" i="64"/>
  <c r="CA46" i="64"/>
  <c r="AM46" i="64"/>
  <c r="BK46" i="64"/>
  <c r="I30" i="64"/>
  <c r="CO46" i="64"/>
  <c r="AE46" i="64"/>
  <c r="C30" i="64"/>
  <c r="J30" i="64"/>
  <c r="AF46" i="64"/>
  <c r="AS46" i="64"/>
  <c r="CJ46" i="64"/>
  <c r="D30" i="64"/>
  <c r="CI46" i="64"/>
  <c r="BL46" i="64"/>
  <c r="BB46" i="64"/>
  <c r="AD46" i="64"/>
  <c r="BA46" i="64"/>
  <c r="AV46" i="64"/>
  <c r="CQ46" i="64"/>
  <c r="AC46" i="64"/>
  <c r="AL46" i="64"/>
  <c r="BQ46" i="64"/>
  <c r="BZ46" i="64"/>
  <c r="BJ46" i="64"/>
  <c r="BU31" i="64"/>
  <c r="BY46" i="64"/>
  <c r="G30" i="64"/>
  <c r="BS46" i="64"/>
  <c r="AN46" i="64"/>
  <c r="BI46" i="64"/>
  <c r="CB46" i="64"/>
  <c r="X38" i="58"/>
  <c r="M71" i="45"/>
  <c r="M70" i="45"/>
  <c r="O51" i="43"/>
  <c r="O50" i="43"/>
  <c r="N50" i="43"/>
  <c r="N51" i="43"/>
  <c r="M51" i="43"/>
  <c r="M50" i="43"/>
  <c r="DR51" i="43"/>
  <c r="DR50" i="43"/>
  <c r="DJ51" i="43"/>
  <c r="DJ50" i="43"/>
  <c r="DB51" i="43"/>
  <c r="DB50" i="43"/>
  <c r="CT51" i="43"/>
  <c r="CT50" i="43"/>
  <c r="L50" i="43" s="1"/>
  <c r="CL51" i="43"/>
  <c r="CL50" i="43"/>
  <c r="K50" i="43" s="1"/>
  <c r="CD51" i="43"/>
  <c r="CD50" i="43"/>
  <c r="I51" i="43"/>
  <c r="I50" i="43"/>
  <c r="H51" i="43"/>
  <c r="H50" i="43"/>
  <c r="G51" i="43"/>
  <c r="G50" i="43"/>
  <c r="L51" i="43"/>
  <c r="K51" i="43"/>
  <c r="J51" i="43"/>
  <c r="J50" i="43"/>
  <c r="E51" i="43"/>
  <c r="E50" i="43"/>
  <c r="D50" i="43"/>
  <c r="D51" i="43"/>
  <c r="C51" i="43"/>
  <c r="C50" i="43"/>
  <c r="F51" i="43"/>
  <c r="F50" i="43"/>
  <c r="F35" i="62"/>
  <c r="CF27" i="64" l="1"/>
  <c r="CK27" i="64" s="1"/>
  <c r="L27" i="64" s="1"/>
  <c r="L57" i="64"/>
  <c r="CV27" i="64"/>
  <c r="CV38" i="64" s="1"/>
  <c r="N57" i="64"/>
  <c r="N58" i="64" s="1"/>
  <c r="N59" i="64" s="1"/>
  <c r="DL27" i="64"/>
  <c r="DQ27" i="64" s="1"/>
  <c r="P27" i="64" s="1"/>
  <c r="P57" i="64"/>
  <c r="P58" i="64" s="1"/>
  <c r="P59" i="64" s="1"/>
  <c r="DL10" i="64"/>
  <c r="DL28" i="64" s="1"/>
  <c r="DQ28" i="64" s="1"/>
  <c r="P28" i="64" s="1"/>
  <c r="EB10" i="64"/>
  <c r="EB28" i="64" s="1"/>
  <c r="EB39" i="64" s="1"/>
  <c r="CF10" i="64"/>
  <c r="CF28" i="64" s="1"/>
  <c r="CK28" i="64" s="1"/>
  <c r="L28" i="64" s="1"/>
  <c r="CV39" i="64"/>
  <c r="DA28" i="64"/>
  <c r="N28" i="64" s="1"/>
  <c r="EB38" i="64"/>
  <c r="EG27" i="64"/>
  <c r="R27" i="64" s="1"/>
  <c r="CV5" i="64"/>
  <c r="CV26" i="64" s="1"/>
  <c r="CV37" i="64" s="1"/>
  <c r="CF5" i="64"/>
  <c r="CF26" i="64" s="1"/>
  <c r="CV4" i="64"/>
  <c r="CV25" i="64" s="1"/>
  <c r="CV36" i="64" s="1"/>
  <c r="EB4" i="64"/>
  <c r="EB25" i="64" s="1"/>
  <c r="DL4" i="64"/>
  <c r="DL25" i="64" s="1"/>
  <c r="DL36" i="64" s="1"/>
  <c r="CF25" i="64"/>
  <c r="DL5" i="64"/>
  <c r="DL26" i="64" s="1"/>
  <c r="DL37" i="64" s="1"/>
  <c r="EC25" i="64"/>
  <c r="EC36" i="64" s="1"/>
  <c r="DM25" i="64"/>
  <c r="DM36" i="64" s="1"/>
  <c r="CG25" i="64"/>
  <c r="CG36" i="64" s="1"/>
  <c r="CW25" i="64"/>
  <c r="CW36" i="64" s="1"/>
  <c r="M31" i="64"/>
  <c r="R53" i="65"/>
  <c r="Q36" i="65"/>
  <c r="P36" i="65"/>
  <c r="R36" i="65" s="1"/>
  <c r="G31" i="64"/>
  <c r="C31" i="64"/>
  <c r="F115" i="64" s="1"/>
  <c r="I31" i="64"/>
  <c r="J31" i="64"/>
  <c r="H31" i="64"/>
  <c r="AT46" i="43"/>
  <c r="C14" i="45" a="1"/>
  <c r="C14" i="45" s="1"/>
  <c r="C15" i="45" a="1"/>
  <c r="C15" i="45" s="1"/>
  <c r="C16" i="45" a="1"/>
  <c r="C16" i="45" s="1"/>
  <c r="C13" i="45" a="1"/>
  <c r="C13" i="45" s="1"/>
  <c r="DR28" i="43"/>
  <c r="O28" i="43" s="1"/>
  <c r="DJ26" i="43"/>
  <c r="N26" i="43" s="1"/>
  <c r="DJ27" i="43"/>
  <c r="N27" i="43" s="1"/>
  <c r="DB28" i="43"/>
  <c r="M28" i="43" s="1"/>
  <c r="CT25" i="43"/>
  <c r="L25" i="43" s="1"/>
  <c r="CT26" i="43"/>
  <c r="L26" i="43" s="1"/>
  <c r="CT27" i="43"/>
  <c r="L27" i="43" s="1"/>
  <c r="CT28" i="43"/>
  <c r="L28" i="43" s="1"/>
  <c r="CT29" i="43"/>
  <c r="L29" i="43" s="1"/>
  <c r="CT30" i="43"/>
  <c r="L30" i="43" s="1"/>
  <c r="CT31" i="43"/>
  <c r="L31" i="43" s="1"/>
  <c r="CT24" i="43"/>
  <c r="L24" i="43" s="1"/>
  <c r="CL31" i="43"/>
  <c r="K31" i="43" s="1"/>
  <c r="CL25" i="43"/>
  <c r="K25" i="43" s="1"/>
  <c r="CL26" i="43"/>
  <c r="K26" i="43" s="1"/>
  <c r="CL27" i="43"/>
  <c r="K27" i="43" s="1"/>
  <c r="CL28" i="43"/>
  <c r="K28" i="43" s="1"/>
  <c r="CL29" i="43"/>
  <c r="K29" i="43" s="1"/>
  <c r="CL30" i="43"/>
  <c r="K30" i="43" s="1"/>
  <c r="CL24" i="43"/>
  <c r="K24" i="43" s="1"/>
  <c r="CD25" i="43"/>
  <c r="J25" i="43" s="1"/>
  <c r="CD26" i="43"/>
  <c r="J26" i="43" s="1"/>
  <c r="CD27" i="43"/>
  <c r="J27" i="43" s="1"/>
  <c r="CD28" i="43"/>
  <c r="J28" i="43" s="1"/>
  <c r="CD29" i="43"/>
  <c r="J29" i="43" s="1"/>
  <c r="CD30" i="43"/>
  <c r="J30" i="43" s="1"/>
  <c r="CD31" i="43"/>
  <c r="J31" i="43" s="1"/>
  <c r="CD24" i="43"/>
  <c r="J24" i="43" s="1"/>
  <c r="K23" i="43"/>
  <c r="L23" i="43"/>
  <c r="CN2" i="43" s="1"/>
  <c r="M23" i="43"/>
  <c r="CV2" i="43" s="1"/>
  <c r="N23" i="43"/>
  <c r="DD2" i="43" s="1"/>
  <c r="O23" i="43"/>
  <c r="DL2" i="43" s="1"/>
  <c r="DQ30" i="43"/>
  <c r="DP30" i="43"/>
  <c r="DO30" i="43"/>
  <c r="DN30" i="43"/>
  <c r="DM30" i="43"/>
  <c r="DQ29" i="43"/>
  <c r="DP29" i="43"/>
  <c r="DO29" i="43"/>
  <c r="DN29" i="43"/>
  <c r="DM29" i="43"/>
  <c r="DQ28" i="43"/>
  <c r="DP28" i="43"/>
  <c r="DO28" i="43"/>
  <c r="DN28" i="43"/>
  <c r="DM28" i="43"/>
  <c r="DQ27" i="43"/>
  <c r="DP27" i="43"/>
  <c r="DO27" i="43"/>
  <c r="DN27" i="43"/>
  <c r="DM27" i="43"/>
  <c r="DQ26" i="43"/>
  <c r="DP26" i="43"/>
  <c r="DO26" i="43"/>
  <c r="DN26" i="43"/>
  <c r="DM26" i="43"/>
  <c r="DQ25" i="43"/>
  <c r="DP25" i="43"/>
  <c r="DO25" i="43"/>
  <c r="DN25" i="43"/>
  <c r="DM25" i="43"/>
  <c r="DQ24" i="43"/>
  <c r="DP24" i="43"/>
  <c r="DO24" i="43"/>
  <c r="DN24" i="43"/>
  <c r="DM24" i="43"/>
  <c r="DR24" i="43" s="1"/>
  <c r="O24" i="43" s="1"/>
  <c r="DI30" i="43"/>
  <c r="DH30" i="43"/>
  <c r="DG30" i="43"/>
  <c r="DF30" i="43"/>
  <c r="DE30" i="43"/>
  <c r="DI29" i="43"/>
  <c r="DH29" i="43"/>
  <c r="DG29" i="43"/>
  <c r="DF29" i="43"/>
  <c r="DE29" i="43"/>
  <c r="DJ29" i="43" s="1"/>
  <c r="N29" i="43" s="1"/>
  <c r="DI28" i="43"/>
  <c r="DH28" i="43"/>
  <c r="DG28" i="43"/>
  <c r="DF28" i="43"/>
  <c r="DE28" i="43"/>
  <c r="DJ28" i="43" s="1"/>
  <c r="N28" i="43" s="1"/>
  <c r="DI27" i="43"/>
  <c r="DH27" i="43"/>
  <c r="DG27" i="43"/>
  <c r="DF27" i="43"/>
  <c r="DE27" i="43"/>
  <c r="DI26" i="43"/>
  <c r="DH26" i="43"/>
  <c r="DG26" i="43"/>
  <c r="DF26" i="43"/>
  <c r="DE26" i="43"/>
  <c r="DI25" i="43"/>
  <c r="DH25" i="43"/>
  <c r="DG25" i="43"/>
  <c r="DF25" i="43"/>
  <c r="DE25" i="43"/>
  <c r="DJ25" i="43" s="1"/>
  <c r="N25" i="43" s="1"/>
  <c r="DI24" i="43"/>
  <c r="DH24" i="43"/>
  <c r="DG24" i="43"/>
  <c r="DF24" i="43"/>
  <c r="DE24" i="43"/>
  <c r="DJ24" i="43" s="1"/>
  <c r="N24" i="43" s="1"/>
  <c r="DA30" i="43"/>
  <c r="CZ30" i="43"/>
  <c r="CY30" i="43"/>
  <c r="CX30" i="43"/>
  <c r="CW30" i="43"/>
  <c r="DA29" i="43"/>
  <c r="CZ29" i="43"/>
  <c r="CY29" i="43"/>
  <c r="CX29" i="43"/>
  <c r="CW29" i="43"/>
  <c r="DA28" i="43"/>
  <c r="CZ28" i="43"/>
  <c r="CY28" i="43"/>
  <c r="CX28" i="43"/>
  <c r="CW28" i="43"/>
  <c r="DA27" i="43"/>
  <c r="CZ27" i="43"/>
  <c r="CY27" i="43"/>
  <c r="CX27" i="43"/>
  <c r="CW27" i="43"/>
  <c r="DA26" i="43"/>
  <c r="CZ26" i="43"/>
  <c r="CY26" i="43"/>
  <c r="CX26" i="43"/>
  <c r="CW26" i="43"/>
  <c r="DA25" i="43"/>
  <c r="CZ25" i="43"/>
  <c r="CY25" i="43"/>
  <c r="CX25" i="43"/>
  <c r="CW25" i="43"/>
  <c r="DA24" i="43"/>
  <c r="CZ24" i="43"/>
  <c r="CY24" i="43"/>
  <c r="CX24" i="43"/>
  <c r="CW24" i="43"/>
  <c r="DB24" i="43" s="1"/>
  <c r="M24" i="43" s="1"/>
  <c r="CS30" i="43"/>
  <c r="CR30" i="43"/>
  <c r="CQ30" i="43"/>
  <c r="CP30" i="43"/>
  <c r="CO30" i="43"/>
  <c r="CS29" i="43"/>
  <c r="CR29" i="43"/>
  <c r="CQ29" i="43"/>
  <c r="CP29" i="43"/>
  <c r="CO29" i="43"/>
  <c r="CS28" i="43"/>
  <c r="CR28" i="43"/>
  <c r="CQ28" i="43"/>
  <c r="CP28" i="43"/>
  <c r="CO28" i="43"/>
  <c r="CS27" i="43"/>
  <c r="CR27" i="43"/>
  <c r="CQ27" i="43"/>
  <c r="CP27" i="43"/>
  <c r="CO27" i="43"/>
  <c r="CS26" i="43"/>
  <c r="CR26" i="43"/>
  <c r="CQ26" i="43"/>
  <c r="CP26" i="43"/>
  <c r="CO26" i="43"/>
  <c r="CS25" i="43"/>
  <c r="CR25" i="43"/>
  <c r="CQ25" i="43"/>
  <c r="CP25" i="43"/>
  <c r="CO25" i="43"/>
  <c r="CS24" i="43"/>
  <c r="CR24" i="43"/>
  <c r="CQ24" i="43"/>
  <c r="CP24" i="43"/>
  <c r="CO24" i="43"/>
  <c r="F36" i="62"/>
  <c r="G116" i="64" l="1"/>
  <c r="F5" i="62" a="1"/>
  <c r="F5" i="62" s="1"/>
  <c r="CF38" i="64"/>
  <c r="F13" i="45" a="1"/>
  <c r="F13" i="45" s="1"/>
  <c r="F12" i="45" a="1"/>
  <c r="F12" i="45" s="1"/>
  <c r="F11" i="45" a="1"/>
  <c r="F11" i="45" s="1"/>
  <c r="M53" i="43"/>
  <c r="F10" i="62" a="1"/>
  <c r="F10" i="62" s="1"/>
  <c r="R37" i="65"/>
  <c r="AT6" i="65"/>
  <c r="AU6" i="65" s="1"/>
  <c r="DL38" i="64"/>
  <c r="DA27" i="64"/>
  <c r="N27" i="64" s="1"/>
  <c r="CF37" i="64"/>
  <c r="V26" i="64"/>
  <c r="CF36" i="64"/>
  <c r="V25" i="64"/>
  <c r="S57" i="64"/>
  <c r="L58" i="64"/>
  <c r="L59" i="64" s="1"/>
  <c r="DL39" i="64"/>
  <c r="CF39" i="64"/>
  <c r="EG28" i="64"/>
  <c r="R28" i="64" s="1"/>
  <c r="EB31" i="64"/>
  <c r="EB36" i="64"/>
  <c r="F8" i="62" a="1"/>
  <c r="F8" i="62" s="1"/>
  <c r="J32" i="64"/>
  <c r="H32" i="64"/>
  <c r="F4" i="62" a="1"/>
  <c r="F4" i="62" s="1"/>
  <c r="F9" i="62" a="1"/>
  <c r="F9" i="62" s="1"/>
  <c r="J33" i="64"/>
  <c r="H33" i="64"/>
  <c r="DM31" i="64"/>
  <c r="DM42" i="64" s="1"/>
  <c r="DQ25" i="64"/>
  <c r="P25" i="64" s="1"/>
  <c r="EG25" i="64"/>
  <c r="R25" i="64" s="1"/>
  <c r="EC31" i="64"/>
  <c r="EC42" i="64" s="1"/>
  <c r="CK26" i="64"/>
  <c r="L26" i="64" s="1"/>
  <c r="CF31" i="64"/>
  <c r="DA26" i="64"/>
  <c r="N26" i="64" s="1"/>
  <c r="CV31" i="64"/>
  <c r="CW31" i="64"/>
  <c r="DA25" i="64"/>
  <c r="N25" i="64" s="1"/>
  <c r="CK25" i="64"/>
  <c r="L25" i="64" s="1"/>
  <c r="CG31" i="64"/>
  <c r="DQ26" i="64"/>
  <c r="P26" i="64" s="1"/>
  <c r="DL31" i="64"/>
  <c r="DL42" i="64" s="1"/>
  <c r="D33" i="64"/>
  <c r="D32" i="64"/>
  <c r="DJ30" i="43"/>
  <c r="N30" i="43" s="1"/>
  <c r="DR26" i="43"/>
  <c r="O26" i="43" s="1"/>
  <c r="DR27" i="43"/>
  <c r="O27" i="43" s="1"/>
  <c r="DR25" i="43"/>
  <c r="O25" i="43" s="1"/>
  <c r="DR30" i="43"/>
  <c r="O30" i="43" s="1"/>
  <c r="DR29" i="43"/>
  <c r="O29" i="43" s="1"/>
  <c r="DB26" i="43"/>
  <c r="M26" i="43" s="1"/>
  <c r="DB25" i="43"/>
  <c r="M25" i="43" s="1"/>
  <c r="DB27" i="43"/>
  <c r="M27" i="43" s="1"/>
  <c r="DB30" i="43"/>
  <c r="M30" i="43" s="1"/>
  <c r="DB29" i="43"/>
  <c r="M29" i="43" s="1"/>
  <c r="DF31" i="43"/>
  <c r="CZ31" i="43"/>
  <c r="CZ46" i="43" s="1"/>
  <c r="DP31" i="43"/>
  <c r="DP46" i="43" s="1"/>
  <c r="CQ31" i="43"/>
  <c r="CQ46" i="43" s="1"/>
  <c r="DG31" i="43"/>
  <c r="DG46" i="43" s="1"/>
  <c r="CR31" i="43"/>
  <c r="DH31" i="43"/>
  <c r="CP31" i="43"/>
  <c r="CP46" i="43" s="1"/>
  <c r="CX31" i="43"/>
  <c r="CX46" i="43" s="1"/>
  <c r="DN31" i="43"/>
  <c r="CY31" i="43"/>
  <c r="DO31" i="43"/>
  <c r="DQ31" i="43"/>
  <c r="DM31" i="43"/>
  <c r="DR31" i="43" s="1"/>
  <c r="O31" i="43" s="1"/>
  <c r="DI31" i="43"/>
  <c r="DE31" i="43"/>
  <c r="DJ31" i="43" s="1"/>
  <c r="N31" i="43" s="1"/>
  <c r="CW31" i="43"/>
  <c r="DB31" i="43" s="1"/>
  <c r="DA31" i="43"/>
  <c r="CS31" i="43"/>
  <c r="CO31" i="43"/>
  <c r="O53" i="43" l="1"/>
  <c r="N53" i="43"/>
  <c r="F16" i="45" a="1"/>
  <c r="F16" i="45" s="1"/>
  <c r="F15" i="45" a="1"/>
  <c r="F15" i="45" s="1"/>
  <c r="F14" i="45" a="1"/>
  <c r="F14" i="45" s="1"/>
  <c r="V27" i="64"/>
  <c r="V28" i="64" s="1"/>
  <c r="EB42" i="64"/>
  <c r="CW46" i="64"/>
  <c r="CW42" i="64"/>
  <c r="CG46" i="64"/>
  <c r="CG42" i="64"/>
  <c r="CV42" i="64"/>
  <c r="CF42" i="64"/>
  <c r="G9" i="62"/>
  <c r="DQ31" i="64"/>
  <c r="P31" i="64" s="1"/>
  <c r="F16" i="62" s="1" a="1"/>
  <c r="F16" i="62" s="1"/>
  <c r="DA31" i="64"/>
  <c r="N31" i="64" s="1"/>
  <c r="F14" i="62" s="1" a="1"/>
  <c r="F14" i="62" s="1"/>
  <c r="EC46" i="64"/>
  <c r="EG31" i="64"/>
  <c r="DM46" i="64"/>
  <c r="CK31" i="64"/>
  <c r="L31" i="64" s="1"/>
  <c r="DF46" i="43"/>
  <c r="DH46" i="43"/>
  <c r="DN46" i="43"/>
  <c r="CR46" i="43"/>
  <c r="CY46" i="43"/>
  <c r="DQ46" i="43"/>
  <c r="DO46" i="43"/>
  <c r="DI46" i="43"/>
  <c r="DA46" i="43"/>
  <c r="CS46" i="43"/>
  <c r="X25" i="58"/>
  <c r="AB24" i="63"/>
  <c r="AB31" i="63" s="1"/>
  <c r="BS27" i="63"/>
  <c r="BS28" i="63"/>
  <c r="BS29" i="63"/>
  <c r="BS30" i="63"/>
  <c r="T31" i="63"/>
  <c r="CD30" i="63"/>
  <c r="CC30" i="63"/>
  <c r="CB30" i="63"/>
  <c r="CA30" i="63"/>
  <c r="BZ30" i="63"/>
  <c r="BV30" i="63"/>
  <c r="BU30" i="63"/>
  <c r="BT30" i="63"/>
  <c r="BR30" i="63"/>
  <c r="BN30" i="63"/>
  <c r="BM30" i="63"/>
  <c r="BL30" i="63"/>
  <c r="BK30" i="63"/>
  <c r="BJ30" i="63"/>
  <c r="BF30" i="63"/>
  <c r="BE30" i="63"/>
  <c r="BD30" i="63"/>
  <c r="BC30" i="63"/>
  <c r="BB30" i="63"/>
  <c r="AX30" i="63"/>
  <c r="AW30" i="63"/>
  <c r="AV30" i="63"/>
  <c r="AU30" i="63"/>
  <c r="AT30" i="63"/>
  <c r="AP30" i="63"/>
  <c r="AO30" i="63"/>
  <c r="AN30" i="63"/>
  <c r="AM30" i="63"/>
  <c r="AL30" i="63"/>
  <c r="AH30" i="63"/>
  <c r="AG30" i="63"/>
  <c r="AF30" i="63"/>
  <c r="AE30" i="63"/>
  <c r="AD30" i="63"/>
  <c r="Z30" i="63"/>
  <c r="Y30" i="63"/>
  <c r="X30" i="63"/>
  <c r="W30" i="63"/>
  <c r="V30" i="63"/>
  <c r="R30" i="63"/>
  <c r="Q30" i="63"/>
  <c r="P30" i="63"/>
  <c r="O30" i="63"/>
  <c r="N30" i="63"/>
  <c r="CD29" i="63"/>
  <c r="CC29" i="63"/>
  <c r="CB29" i="63"/>
  <c r="CA29" i="63"/>
  <c r="BZ29" i="63"/>
  <c r="BV29" i="63"/>
  <c r="BU29" i="63"/>
  <c r="BT29" i="63"/>
  <c r="BR29" i="63"/>
  <c r="BN29" i="63"/>
  <c r="BM29" i="63"/>
  <c r="BL29" i="63"/>
  <c r="BK29" i="63"/>
  <c r="BJ29" i="63"/>
  <c r="BF29" i="63"/>
  <c r="BE29" i="63"/>
  <c r="BD29" i="63"/>
  <c r="BC29" i="63"/>
  <c r="BB29" i="63"/>
  <c r="AX29" i="63"/>
  <c r="AW29" i="63"/>
  <c r="AV29" i="63"/>
  <c r="AU29" i="63"/>
  <c r="AT29" i="63"/>
  <c r="AP29" i="63"/>
  <c r="AO29" i="63"/>
  <c r="AN29" i="63"/>
  <c r="AM29" i="63"/>
  <c r="AL29" i="63"/>
  <c r="AH29" i="63"/>
  <c r="AG29" i="63"/>
  <c r="AF29" i="63"/>
  <c r="AE29" i="63"/>
  <c r="AD29" i="63"/>
  <c r="Z29" i="63"/>
  <c r="Y29" i="63"/>
  <c r="X29" i="63"/>
  <c r="W29" i="63"/>
  <c r="V29" i="63"/>
  <c r="R29" i="63"/>
  <c r="Q29" i="63"/>
  <c r="P29" i="63"/>
  <c r="O29" i="63"/>
  <c r="N29" i="63"/>
  <c r="CD28" i="63"/>
  <c r="CC28" i="63"/>
  <c r="CB28" i="63"/>
  <c r="CA28" i="63"/>
  <c r="BZ28" i="63"/>
  <c r="BV28" i="63"/>
  <c r="BU28" i="63"/>
  <c r="BT28" i="63"/>
  <c r="BR28" i="63"/>
  <c r="BN28" i="63"/>
  <c r="BM28" i="63"/>
  <c r="BL28" i="63"/>
  <c r="BK28" i="63"/>
  <c r="BJ28" i="63"/>
  <c r="BO28" i="63" s="1"/>
  <c r="BF28" i="63"/>
  <c r="BE28" i="63"/>
  <c r="BD28" i="63"/>
  <c r="BC28" i="63"/>
  <c r="BB28" i="63"/>
  <c r="AX28" i="63"/>
  <c r="AW28" i="63"/>
  <c r="AV28" i="63"/>
  <c r="AU28" i="63"/>
  <c r="AT28" i="63"/>
  <c r="AP28" i="63"/>
  <c r="AO28" i="63"/>
  <c r="AN28" i="63"/>
  <c r="AM28" i="63"/>
  <c r="AL28" i="63"/>
  <c r="AH28" i="63"/>
  <c r="AG28" i="63"/>
  <c r="AF28" i="63"/>
  <c r="AE28" i="63"/>
  <c r="AD28" i="63"/>
  <c r="Z28" i="63"/>
  <c r="Y28" i="63"/>
  <c r="X28" i="63"/>
  <c r="W28" i="63"/>
  <c r="V28" i="63"/>
  <c r="R28" i="63"/>
  <c r="Q28" i="63"/>
  <c r="P28" i="63"/>
  <c r="O28" i="63"/>
  <c r="N28" i="63"/>
  <c r="CD27" i="63"/>
  <c r="CC27" i="63"/>
  <c r="CB27" i="63"/>
  <c r="CA27" i="63"/>
  <c r="BZ27" i="63"/>
  <c r="BV27" i="63"/>
  <c r="BU27" i="63"/>
  <c r="BT27" i="63"/>
  <c r="BR27" i="63"/>
  <c r="BN27" i="63"/>
  <c r="BM27" i="63"/>
  <c r="BL27" i="63"/>
  <c r="BK27" i="63"/>
  <c r="BJ27" i="63"/>
  <c r="BF27" i="63"/>
  <c r="BE27" i="63"/>
  <c r="BD27" i="63"/>
  <c r="BC27" i="63"/>
  <c r="BB27" i="63"/>
  <c r="AX27" i="63"/>
  <c r="AW27" i="63"/>
  <c r="AV27" i="63"/>
  <c r="AU27" i="63"/>
  <c r="AT27" i="63"/>
  <c r="AP27" i="63"/>
  <c r="AO27" i="63"/>
  <c r="AN27" i="63"/>
  <c r="AM27" i="63"/>
  <c r="AL27" i="63"/>
  <c r="AH27" i="63"/>
  <c r="AG27" i="63"/>
  <c r="AF27" i="63"/>
  <c r="AE27" i="63"/>
  <c r="AD27" i="63"/>
  <c r="Z27" i="63"/>
  <c r="Y27" i="63"/>
  <c r="X27" i="63"/>
  <c r="W27" i="63"/>
  <c r="V27" i="63"/>
  <c r="R27" i="63"/>
  <c r="Q27" i="63"/>
  <c r="P27" i="63"/>
  <c r="O27" i="63"/>
  <c r="N27" i="63"/>
  <c r="CD26" i="63"/>
  <c r="CC26" i="63"/>
  <c r="CB26" i="63"/>
  <c r="CA26" i="63"/>
  <c r="BZ26" i="63"/>
  <c r="BV26" i="63"/>
  <c r="BU26" i="63"/>
  <c r="BT26" i="63"/>
  <c r="BS26" i="63"/>
  <c r="BR26" i="63"/>
  <c r="BN26" i="63"/>
  <c r="BM26" i="63"/>
  <c r="BL26" i="63"/>
  <c r="BK26" i="63"/>
  <c r="BJ26" i="63"/>
  <c r="BF26" i="63"/>
  <c r="BE26" i="63"/>
  <c r="BD26" i="63"/>
  <c r="BC26" i="63"/>
  <c r="BB26" i="63"/>
  <c r="AX26" i="63"/>
  <c r="AW26" i="63"/>
  <c r="AV26" i="63"/>
  <c r="AU26" i="63"/>
  <c r="AT26" i="63"/>
  <c r="AP26" i="63"/>
  <c r="AO26" i="63"/>
  <c r="AN26" i="63"/>
  <c r="AM26" i="63"/>
  <c r="AL26" i="63"/>
  <c r="AH26" i="63"/>
  <c r="AG26" i="63"/>
  <c r="AF26" i="63"/>
  <c r="AE26" i="63"/>
  <c r="AD26" i="63"/>
  <c r="Z26" i="63"/>
  <c r="Y26" i="63"/>
  <c r="X26" i="63"/>
  <c r="W26" i="63"/>
  <c r="V26" i="63"/>
  <c r="R26" i="63"/>
  <c r="Q26" i="63"/>
  <c r="P26" i="63"/>
  <c r="O26" i="63"/>
  <c r="N26" i="63"/>
  <c r="CD25" i="63"/>
  <c r="CC25" i="63"/>
  <c r="CB25" i="63"/>
  <c r="CA25" i="63"/>
  <c r="BZ25" i="63"/>
  <c r="BV25" i="63"/>
  <c r="BU25" i="63"/>
  <c r="BT25" i="63"/>
  <c r="BS25" i="63"/>
  <c r="BR25" i="63"/>
  <c r="BN25" i="63"/>
  <c r="BM25" i="63"/>
  <c r="BL25" i="63"/>
  <c r="BK25" i="63"/>
  <c r="BJ25" i="63"/>
  <c r="BF25" i="63"/>
  <c r="BE25" i="63"/>
  <c r="BD25" i="63"/>
  <c r="BC25" i="63"/>
  <c r="BB25" i="63"/>
  <c r="AX25" i="63"/>
  <c r="AW25" i="63"/>
  <c r="AV25" i="63"/>
  <c r="AU25" i="63"/>
  <c r="AT25" i="63"/>
  <c r="AP25" i="63"/>
  <c r="AO25" i="63"/>
  <c r="AN25" i="63"/>
  <c r="AM25" i="63"/>
  <c r="AL25" i="63"/>
  <c r="AH25" i="63"/>
  <c r="AG25" i="63"/>
  <c r="AF25" i="63"/>
  <c r="AE25" i="63"/>
  <c r="AD25" i="63"/>
  <c r="Z25" i="63"/>
  <c r="Y25" i="63"/>
  <c r="X25" i="63"/>
  <c r="W25" i="63"/>
  <c r="V25" i="63"/>
  <c r="R25" i="63"/>
  <c r="Q25" i="63"/>
  <c r="P25" i="63"/>
  <c r="O25" i="63"/>
  <c r="N25" i="63"/>
  <c r="CD24" i="63"/>
  <c r="CC24" i="63"/>
  <c r="CB24" i="63"/>
  <c r="CA24" i="63"/>
  <c r="BZ24" i="63"/>
  <c r="BV24" i="63"/>
  <c r="BU24" i="63"/>
  <c r="BT24" i="63"/>
  <c r="BS24" i="63"/>
  <c r="BR24" i="63"/>
  <c r="BN24" i="63"/>
  <c r="BM24" i="63"/>
  <c r="BL24" i="63"/>
  <c r="BK24" i="63"/>
  <c r="BJ24" i="63"/>
  <c r="BF24" i="63"/>
  <c r="BE24" i="63"/>
  <c r="BD24" i="63"/>
  <c r="BC24" i="63"/>
  <c r="BB24" i="63"/>
  <c r="AX24" i="63"/>
  <c r="AW24" i="63"/>
  <c r="AV24" i="63"/>
  <c r="AU24" i="63"/>
  <c r="AT24" i="63"/>
  <c r="AP24" i="63"/>
  <c r="AO24" i="63"/>
  <c r="AN24" i="63"/>
  <c r="AM24" i="63"/>
  <c r="AL24" i="63"/>
  <c r="AH24" i="63"/>
  <c r="AG24" i="63"/>
  <c r="AF24" i="63"/>
  <c r="AE24" i="63"/>
  <c r="AD24" i="63"/>
  <c r="Z24" i="63"/>
  <c r="Y24" i="63"/>
  <c r="X24" i="63"/>
  <c r="W24" i="63"/>
  <c r="V24" i="63"/>
  <c r="R24" i="63"/>
  <c r="Q24" i="63"/>
  <c r="P24" i="63"/>
  <c r="O24" i="63"/>
  <c r="N24" i="63"/>
  <c r="K23" i="63"/>
  <c r="BY2" i="63" s="1"/>
  <c r="J23" i="63"/>
  <c r="BQ2" i="63" s="1"/>
  <c r="I23" i="63"/>
  <c r="BI2" i="63" s="1"/>
  <c r="H23" i="63"/>
  <c r="BA2" i="63" s="1"/>
  <c r="G23" i="63"/>
  <c r="AS2" i="63" s="1"/>
  <c r="F23" i="63"/>
  <c r="AK2" i="63" s="1"/>
  <c r="E23" i="63"/>
  <c r="AC2" i="63" s="1"/>
  <c r="D23" i="63"/>
  <c r="U2" i="63" s="1"/>
  <c r="C23" i="63"/>
  <c r="M2" i="63" s="1"/>
  <c r="E42" i="62"/>
  <c r="D39" i="62"/>
  <c r="D38" i="62"/>
  <c r="D37" i="62"/>
  <c r="D36" i="62"/>
  <c r="D35" i="62"/>
  <c r="Q10" i="58"/>
  <c r="Q12" i="58" s="1"/>
  <c r="P53" i="43" l="1"/>
  <c r="E31" i="64" s="1"/>
  <c r="F117" i="64" s="1"/>
  <c r="BP46" i="64"/>
  <c r="L32" i="64"/>
  <c r="F12" i="62" a="1"/>
  <c r="F12" i="62" s="1"/>
  <c r="EJ40" i="64"/>
  <c r="EJ36" i="64"/>
  <c r="EJ37" i="64"/>
  <c r="EJ41" i="64"/>
  <c r="EJ39" i="64"/>
  <c r="EJ35" i="64"/>
  <c r="AJ38" i="64"/>
  <c r="EK37" i="64"/>
  <c r="EK35" i="64"/>
  <c r="EK39" i="64"/>
  <c r="EK41" i="64"/>
  <c r="EK36" i="64"/>
  <c r="EK38" i="64"/>
  <c r="EK40" i="64"/>
  <c r="EK42" i="64"/>
  <c r="BO24" i="63"/>
  <c r="I24" i="63" s="1"/>
  <c r="CF46" i="64"/>
  <c r="CK46" i="64" s="1"/>
  <c r="L46" i="64" s="1"/>
  <c r="R31" i="64"/>
  <c r="F17" i="62" s="1" a="1"/>
  <c r="F17" i="62" s="1"/>
  <c r="G17" i="62" s="1"/>
  <c r="P33" i="64"/>
  <c r="P32" i="64"/>
  <c r="N33" i="64"/>
  <c r="N32" i="64"/>
  <c r="F11" i="62" a="1"/>
  <c r="F11" i="62" s="1"/>
  <c r="G11" i="62" s="1"/>
  <c r="L33" i="64"/>
  <c r="F15" i="62" a="1"/>
  <c r="F15" i="62" s="1"/>
  <c r="G15" i="62" s="1"/>
  <c r="F13" i="62" a="1"/>
  <c r="F13" i="62" s="1"/>
  <c r="AP38" i="63"/>
  <c r="DT46" i="64"/>
  <c r="DY46" i="64" s="1"/>
  <c r="Q46" i="64" s="1"/>
  <c r="CV46" i="64"/>
  <c r="DA46" i="64" s="1"/>
  <c r="N46" i="64" s="1"/>
  <c r="DD46" i="64"/>
  <c r="DI46" i="64" s="1"/>
  <c r="O46" i="64" s="1"/>
  <c r="EB46" i="64"/>
  <c r="EG46" i="64" s="1"/>
  <c r="R46" i="64" s="1"/>
  <c r="DL46" i="64"/>
  <c r="DQ46" i="64" s="1"/>
  <c r="P46" i="64" s="1"/>
  <c r="BL36" i="63"/>
  <c r="P39" i="63"/>
  <c r="CZ37" i="64"/>
  <c r="DP39" i="64"/>
  <c r="EF39" i="64"/>
  <c r="EF35" i="64"/>
  <c r="DH39" i="64"/>
  <c r="DH36" i="64"/>
  <c r="DX38" i="64"/>
  <c r="DH41" i="64"/>
  <c r="DP35" i="64"/>
  <c r="EF38" i="64"/>
  <c r="CZ40" i="64"/>
  <c r="DX35" i="64"/>
  <c r="DX50" i="64" s="1"/>
  <c r="DH38" i="64"/>
  <c r="CZ41" i="64"/>
  <c r="DP40" i="64"/>
  <c r="CZ39" i="64"/>
  <c r="DX37" i="64"/>
  <c r="DX41" i="64"/>
  <c r="EF37" i="64"/>
  <c r="DX40" i="64"/>
  <c r="DH37" i="64"/>
  <c r="EF36" i="64"/>
  <c r="DX36" i="64"/>
  <c r="EF40" i="64"/>
  <c r="DX39" i="64"/>
  <c r="DH40" i="64"/>
  <c r="DH35" i="64"/>
  <c r="DH50" i="64" s="1"/>
  <c r="DP37" i="64"/>
  <c r="DP38" i="64"/>
  <c r="DP41" i="64"/>
  <c r="CZ38" i="64"/>
  <c r="CZ35" i="64"/>
  <c r="DP36" i="64"/>
  <c r="EF41" i="64"/>
  <c r="CZ36" i="64"/>
  <c r="DX42" i="64"/>
  <c r="DH42" i="64"/>
  <c r="CZ42" i="64"/>
  <c r="EF42" i="64"/>
  <c r="DP42" i="64"/>
  <c r="AF35" i="64"/>
  <c r="AF50" i="64" s="1"/>
  <c r="BL39" i="64"/>
  <c r="AF40" i="64"/>
  <c r="BT37" i="64"/>
  <c r="CB41" i="64"/>
  <c r="BD41" i="64"/>
  <c r="CJ38" i="64"/>
  <c r="BT36" i="64"/>
  <c r="AV36" i="64"/>
  <c r="AV35" i="64"/>
  <c r="AV50" i="64" s="1"/>
  <c r="AN39" i="64"/>
  <c r="CB36" i="64"/>
  <c r="CR37" i="64"/>
  <c r="AV37" i="64"/>
  <c r="CR36" i="64"/>
  <c r="CB39" i="64"/>
  <c r="AV39" i="64"/>
  <c r="AF38" i="64"/>
  <c r="CR35" i="64"/>
  <c r="CR50" i="64" s="1"/>
  <c r="CJ40" i="64"/>
  <c r="BL40" i="64"/>
  <c r="CB37" i="64"/>
  <c r="BT35" i="64"/>
  <c r="AV38" i="64"/>
  <c r="CR39" i="64"/>
  <c r="BD39" i="64"/>
  <c r="BT39" i="64"/>
  <c r="CR41" i="64"/>
  <c r="BD35" i="64"/>
  <c r="CB40" i="64"/>
  <c r="AN36" i="64"/>
  <c r="CJ41" i="64"/>
  <c r="AF37" i="64"/>
  <c r="BL35" i="64"/>
  <c r="BL50" i="64" s="1"/>
  <c r="BD40" i="64"/>
  <c r="CR40" i="64"/>
  <c r="AV40" i="64"/>
  <c r="BL37" i="64"/>
  <c r="BL41" i="64"/>
  <c r="AN35" i="64"/>
  <c r="CJ35" i="64"/>
  <c r="AN37" i="64"/>
  <c r="BD37" i="64"/>
  <c r="AF39" i="64"/>
  <c r="CB38" i="64"/>
  <c r="AF41" i="64"/>
  <c r="CJ39" i="64"/>
  <c r="CB35" i="64"/>
  <c r="CB50" i="64" s="1"/>
  <c r="BL36" i="64"/>
  <c r="AN38" i="64"/>
  <c r="BT40" i="64"/>
  <c r="AN41" i="64"/>
  <c r="CJ37" i="64"/>
  <c r="CJ36" i="64"/>
  <c r="BL38" i="64"/>
  <c r="AN40" i="64"/>
  <c r="CR38" i="64"/>
  <c r="BT38" i="64"/>
  <c r="BT41" i="64"/>
  <c r="AV41" i="64"/>
  <c r="BD36" i="64"/>
  <c r="AF36" i="64"/>
  <c r="BD38" i="64"/>
  <c r="CR42" i="64"/>
  <c r="AF42" i="64"/>
  <c r="AN42" i="64"/>
  <c r="BD42" i="64"/>
  <c r="BT42" i="64"/>
  <c r="AV42" i="64"/>
  <c r="BL42" i="64"/>
  <c r="CJ42" i="64"/>
  <c r="CB42" i="64"/>
  <c r="AX39" i="63"/>
  <c r="AX37" i="63"/>
  <c r="CX36" i="64"/>
  <c r="DV36" i="64"/>
  <c r="DN35" i="64"/>
  <c r="CX38" i="64"/>
  <c r="DN39" i="64"/>
  <c r="DF37" i="64"/>
  <c r="CX40" i="64"/>
  <c r="CX37" i="64"/>
  <c r="DV37" i="64"/>
  <c r="CX35" i="64"/>
  <c r="CX39" i="64"/>
  <c r="DN41" i="64"/>
  <c r="ED41" i="64"/>
  <c r="ED40" i="64"/>
  <c r="ED37" i="64"/>
  <c r="DF41" i="64"/>
  <c r="DF38" i="64"/>
  <c r="DV40" i="64"/>
  <c r="DF36" i="64"/>
  <c r="CX41" i="64"/>
  <c r="DN37" i="64"/>
  <c r="ED42" i="64"/>
  <c r="DV39" i="64"/>
  <c r="DF39" i="64"/>
  <c r="ED39" i="64"/>
  <c r="DF35" i="64"/>
  <c r="DF50" i="64" s="1"/>
  <c r="ED36" i="64"/>
  <c r="DF40" i="64"/>
  <c r="DN40" i="64"/>
  <c r="DN38" i="64"/>
  <c r="ED38" i="64"/>
  <c r="DV38" i="64"/>
  <c r="DV35" i="64"/>
  <c r="DV50" i="64" s="1"/>
  <c r="DV41" i="64"/>
  <c r="DN36" i="64"/>
  <c r="ED35" i="64"/>
  <c r="DF42" i="64"/>
  <c r="CX42" i="64"/>
  <c r="DV42" i="64"/>
  <c r="DN42" i="64"/>
  <c r="BR37" i="64"/>
  <c r="AD37" i="64"/>
  <c r="AT39" i="64"/>
  <c r="CH37" i="64"/>
  <c r="CP38" i="64"/>
  <c r="AT41" i="64"/>
  <c r="BB41" i="64"/>
  <c r="AD40" i="64"/>
  <c r="BB35" i="64"/>
  <c r="AD38" i="64"/>
  <c r="BR35" i="64"/>
  <c r="BZ40" i="64"/>
  <c r="CH41" i="64"/>
  <c r="AL38" i="64"/>
  <c r="BZ39" i="64"/>
  <c r="AT40" i="64"/>
  <c r="BZ38" i="64"/>
  <c r="CP41" i="64"/>
  <c r="BR41" i="64"/>
  <c r="CH36" i="64"/>
  <c r="AD39" i="64"/>
  <c r="CH35" i="64"/>
  <c r="BZ36" i="64"/>
  <c r="BB40" i="64"/>
  <c r="CH38" i="64"/>
  <c r="AL35" i="64"/>
  <c r="BJ41" i="64"/>
  <c r="BR39" i="64"/>
  <c r="BJ37" i="64"/>
  <c r="BB36" i="64"/>
  <c r="AL37" i="64"/>
  <c r="CH40" i="64"/>
  <c r="BJ39" i="64"/>
  <c r="CP39" i="64"/>
  <c r="AT38" i="64"/>
  <c r="CP40" i="64"/>
  <c r="BB38" i="64"/>
  <c r="BJ35" i="64"/>
  <c r="BJ50" i="64" s="1"/>
  <c r="AD41" i="64"/>
  <c r="BJ40" i="64"/>
  <c r="BR36" i="64"/>
  <c r="AT36" i="64"/>
  <c r="BR38" i="64"/>
  <c r="CP37" i="64"/>
  <c r="BJ38" i="64"/>
  <c r="AL40" i="64"/>
  <c r="AT37" i="64"/>
  <c r="CH39" i="64"/>
  <c r="AT35" i="64"/>
  <c r="AT50" i="64" s="1"/>
  <c r="AL36" i="64"/>
  <c r="AD36" i="64"/>
  <c r="AL39" i="64"/>
  <c r="BZ35" i="64"/>
  <c r="BZ50" i="64" s="1"/>
  <c r="BB39" i="64"/>
  <c r="BR40" i="64"/>
  <c r="AL41" i="64"/>
  <c r="BZ37" i="64"/>
  <c r="CP36" i="64"/>
  <c r="BJ36" i="64"/>
  <c r="CP35" i="64"/>
  <c r="CP50" i="64" s="1"/>
  <c r="BZ41" i="64"/>
  <c r="AD35" i="64"/>
  <c r="AD50" i="64" s="1"/>
  <c r="BB37" i="64"/>
  <c r="AD42" i="64"/>
  <c r="AL42" i="64"/>
  <c r="BR42" i="64"/>
  <c r="CH42" i="64"/>
  <c r="BZ42" i="64"/>
  <c r="AT42" i="64"/>
  <c r="BJ42" i="64"/>
  <c r="BB42" i="64"/>
  <c r="CP42" i="64"/>
  <c r="DO41" i="64"/>
  <c r="EE41" i="64"/>
  <c r="DW36" i="64"/>
  <c r="DW38" i="64"/>
  <c r="DO39" i="64"/>
  <c r="EE42" i="64"/>
  <c r="DG37" i="64"/>
  <c r="EE35" i="64"/>
  <c r="DG39" i="64"/>
  <c r="CY36" i="64"/>
  <c r="EE38" i="64"/>
  <c r="DG40" i="64"/>
  <c r="DG35" i="64"/>
  <c r="DG50" i="64" s="1"/>
  <c r="DW41" i="64"/>
  <c r="DW37" i="64"/>
  <c r="CY39" i="64"/>
  <c r="CY38" i="64"/>
  <c r="CY35" i="64"/>
  <c r="DG41" i="64"/>
  <c r="DO40" i="64"/>
  <c r="EE37" i="64"/>
  <c r="DO35" i="64"/>
  <c r="CY40" i="64"/>
  <c r="DW39" i="64"/>
  <c r="DO38" i="64"/>
  <c r="EE40" i="64"/>
  <c r="DO37" i="64"/>
  <c r="DG38" i="64"/>
  <c r="DW40" i="64"/>
  <c r="DO36" i="64"/>
  <c r="EE36" i="64"/>
  <c r="CY41" i="64"/>
  <c r="DG36" i="64"/>
  <c r="DW35" i="64"/>
  <c r="DW50" i="64" s="1"/>
  <c r="EE39" i="64"/>
  <c r="CY37" i="64"/>
  <c r="DO42" i="64"/>
  <c r="DW42" i="64"/>
  <c r="CY42" i="64"/>
  <c r="DG42" i="64"/>
  <c r="CI41" i="64"/>
  <c r="CQ36" i="64"/>
  <c r="BS36" i="64"/>
  <c r="CQ38" i="64"/>
  <c r="BK38" i="64"/>
  <c r="CA37" i="64"/>
  <c r="CA35" i="64"/>
  <c r="CA50" i="64" s="1"/>
  <c r="AE36" i="64"/>
  <c r="AM38" i="64"/>
  <c r="AE37" i="64"/>
  <c r="CA38" i="64"/>
  <c r="CA36" i="64"/>
  <c r="AM39" i="64"/>
  <c r="AU37" i="64"/>
  <c r="BS37" i="64"/>
  <c r="BK36" i="64"/>
  <c r="AU35" i="64"/>
  <c r="AU50" i="64" s="1"/>
  <c r="CQ37" i="64"/>
  <c r="BS39" i="64"/>
  <c r="AE39" i="64"/>
  <c r="AU39" i="64"/>
  <c r="BS41" i="64"/>
  <c r="AE35" i="64"/>
  <c r="AE50" i="64" s="1"/>
  <c r="BC40" i="64"/>
  <c r="BK35" i="64"/>
  <c r="BK50" i="64" s="1"/>
  <c r="BS38" i="64"/>
  <c r="BC38" i="64"/>
  <c r="CA40" i="64"/>
  <c r="BC41" i="64"/>
  <c r="AE41" i="64"/>
  <c r="CI40" i="64"/>
  <c r="AE40" i="64"/>
  <c r="BS40" i="64"/>
  <c r="BC39" i="64"/>
  <c r="CQ41" i="64"/>
  <c r="AM37" i="64"/>
  <c r="CI39" i="64"/>
  <c r="CQ40" i="64"/>
  <c r="CI35" i="64"/>
  <c r="CA39" i="64"/>
  <c r="AM36" i="64"/>
  <c r="AU40" i="64"/>
  <c r="CI37" i="64"/>
  <c r="CQ39" i="64"/>
  <c r="BK37" i="64"/>
  <c r="BC36" i="64"/>
  <c r="BK41" i="64"/>
  <c r="AE38" i="64"/>
  <c r="BC35" i="64"/>
  <c r="AU38" i="64"/>
  <c r="CI38" i="64"/>
  <c r="AM41" i="64"/>
  <c r="CA41" i="64"/>
  <c r="BK40" i="64"/>
  <c r="AM40" i="64"/>
  <c r="BC37" i="64"/>
  <c r="AU41" i="64"/>
  <c r="AM35" i="64"/>
  <c r="CQ35" i="64"/>
  <c r="CQ50" i="64" s="1"/>
  <c r="CI36" i="64"/>
  <c r="BK39" i="64"/>
  <c r="BS35" i="64"/>
  <c r="AU36" i="64"/>
  <c r="AE42" i="64"/>
  <c r="CQ42" i="64"/>
  <c r="AM42" i="64"/>
  <c r="AU42" i="64"/>
  <c r="BS42" i="64"/>
  <c r="BC42" i="64"/>
  <c r="BK42" i="64"/>
  <c r="CI42" i="64"/>
  <c r="CA42" i="64"/>
  <c r="R38" i="63"/>
  <c r="Z35" i="63"/>
  <c r="R36" i="63"/>
  <c r="CD36" i="63"/>
  <c r="X37" i="63"/>
  <c r="BN38" i="63"/>
  <c r="BV39" i="63"/>
  <c r="BV41" i="63"/>
  <c r="BO27" i="63"/>
  <c r="I27" i="63" s="1"/>
  <c r="BO29" i="63"/>
  <c r="I29" i="63" s="1"/>
  <c r="BO25" i="63"/>
  <c r="BO26" i="63"/>
  <c r="I26" i="63" s="1"/>
  <c r="BO30" i="63"/>
  <c r="I30" i="63" s="1"/>
  <c r="AJ46" i="64"/>
  <c r="AO46" i="64" s="1"/>
  <c r="D46" i="64" s="1"/>
  <c r="AR46" i="64"/>
  <c r="AW46" i="64" s="1"/>
  <c r="G46" i="64" s="1"/>
  <c r="BX46" i="64"/>
  <c r="CC46" i="64" s="1"/>
  <c r="K46" i="64" s="1"/>
  <c r="CN46" i="64"/>
  <c r="CS46" i="64" s="1"/>
  <c r="M46" i="64" s="1"/>
  <c r="BU46" i="64"/>
  <c r="J46" i="64" s="1"/>
  <c r="AB46" i="64"/>
  <c r="AZ46" i="64"/>
  <c r="BE46" i="64" s="1"/>
  <c r="H46" i="64" s="1"/>
  <c r="BH46" i="64"/>
  <c r="BM46" i="64" s="1"/>
  <c r="I46" i="64" s="1"/>
  <c r="AB37" i="64"/>
  <c r="AJ35" i="64"/>
  <c r="AJ40" i="64"/>
  <c r="AB41" i="64"/>
  <c r="AB35" i="64"/>
  <c r="AB38" i="64"/>
  <c r="AB39" i="64"/>
  <c r="AJ37" i="64"/>
  <c r="AJ42" i="64"/>
  <c r="AJ41" i="64"/>
  <c r="AB36" i="64"/>
  <c r="AJ39" i="64"/>
  <c r="AJ36" i="64"/>
  <c r="AB40" i="64"/>
  <c r="AB42" i="64"/>
  <c r="AK41" i="64"/>
  <c r="AK37" i="64"/>
  <c r="AK40" i="64"/>
  <c r="AC41" i="64"/>
  <c r="AC36" i="64"/>
  <c r="AK39" i="64"/>
  <c r="AC38" i="64"/>
  <c r="AK38" i="64"/>
  <c r="AK36" i="64"/>
  <c r="AC40" i="64"/>
  <c r="AC39" i="64"/>
  <c r="AK35" i="64"/>
  <c r="AC35" i="64"/>
  <c r="AC37" i="64"/>
  <c r="AC42" i="64"/>
  <c r="AK42" i="64"/>
  <c r="BG29" i="63"/>
  <c r="H29" i="63" s="1"/>
  <c r="BG26" i="63"/>
  <c r="H26" i="63" s="1"/>
  <c r="BG30" i="63"/>
  <c r="BG25" i="63"/>
  <c r="H25" i="63" s="1"/>
  <c r="BG27" i="63"/>
  <c r="H27" i="63" s="1"/>
  <c r="BG24" i="63"/>
  <c r="H24" i="63" s="1"/>
  <c r="BG28" i="63"/>
  <c r="H28" i="63" s="1"/>
  <c r="AQ27" i="63"/>
  <c r="F27" i="63" s="1"/>
  <c r="AY25" i="63"/>
  <c r="G25" i="63" s="1"/>
  <c r="AY27" i="63"/>
  <c r="G27" i="63" s="1"/>
  <c r="AY29" i="63"/>
  <c r="G29" i="63" s="1"/>
  <c r="AY28" i="63"/>
  <c r="G28" i="63" s="1"/>
  <c r="AY30" i="63"/>
  <c r="AQ28" i="63"/>
  <c r="F28" i="63" s="1"/>
  <c r="AQ30" i="63"/>
  <c r="F30" i="63" s="1"/>
  <c r="AQ24" i="63"/>
  <c r="F24" i="63" s="1"/>
  <c r="R40" i="63"/>
  <c r="AX41" i="63"/>
  <c r="AY24" i="63"/>
  <c r="G24" i="63" s="1"/>
  <c r="AY26" i="63"/>
  <c r="G26" i="63" s="1"/>
  <c r="AQ29" i="63"/>
  <c r="F29" i="63" s="1"/>
  <c r="AQ25" i="63"/>
  <c r="F25" i="63" s="1"/>
  <c r="AQ26" i="63"/>
  <c r="F26" i="63" s="1"/>
  <c r="AW36" i="63"/>
  <c r="BV36" i="63"/>
  <c r="AO37" i="63"/>
  <c r="BN37" i="63"/>
  <c r="V38" i="63"/>
  <c r="AU38" i="63"/>
  <c r="Z39" i="63"/>
  <c r="AN41" i="63"/>
  <c r="BB41" i="63"/>
  <c r="BM41" i="63"/>
  <c r="BZ41" i="63"/>
  <c r="BJ36" i="63"/>
  <c r="AX36" i="63"/>
  <c r="AP37" i="63"/>
  <c r="AD41" i="63"/>
  <c r="Z36" i="63"/>
  <c r="R37" i="63"/>
  <c r="CD37" i="63"/>
  <c r="AP39" i="63"/>
  <c r="CD39" i="63"/>
  <c r="AW40" i="63"/>
  <c r="AP41" i="63"/>
  <c r="BV38" i="63"/>
  <c r="AH40" i="63"/>
  <c r="AO41" i="63"/>
  <c r="BV35" i="63"/>
  <c r="AD36" i="63"/>
  <c r="BN36" i="63"/>
  <c r="BT37" i="63"/>
  <c r="BL38" i="63"/>
  <c r="BT39" i="63"/>
  <c r="R41" i="63"/>
  <c r="AP36" i="63"/>
  <c r="AH37" i="63"/>
  <c r="BU37" i="63"/>
  <c r="BB38" i="63"/>
  <c r="BM38" i="63"/>
  <c r="BF39" i="63"/>
  <c r="Q11" i="58"/>
  <c r="Q19" i="58"/>
  <c r="Q32" i="58" s="1"/>
  <c r="Q20" i="58"/>
  <c r="AA30" i="63"/>
  <c r="AL35" i="63"/>
  <c r="AA25" i="63"/>
  <c r="D25" i="63" s="1"/>
  <c r="BS31" i="63"/>
  <c r="Q36" i="63"/>
  <c r="CC31" i="63"/>
  <c r="CC46" i="63" s="1"/>
  <c r="AI26" i="63"/>
  <c r="E26" i="63" s="1"/>
  <c r="W31" i="63"/>
  <c r="W46" i="63" s="1"/>
  <c r="AI24" i="63"/>
  <c r="E24" i="63" s="1"/>
  <c r="AV31" i="63"/>
  <c r="AV46" i="63" s="1"/>
  <c r="AI28" i="63"/>
  <c r="E28" i="63" s="1"/>
  <c r="S24" i="63"/>
  <c r="AA26" i="63"/>
  <c r="D26" i="63" s="1"/>
  <c r="BR31" i="63"/>
  <c r="BR46" i="63" s="1"/>
  <c r="BW25" i="63"/>
  <c r="J25" i="63" s="1"/>
  <c r="AI27" i="63"/>
  <c r="E27" i="63" s="1"/>
  <c r="AA28" i="63"/>
  <c r="D28" i="63" s="1"/>
  <c r="AA24" i="63"/>
  <c r="D24" i="63" s="1"/>
  <c r="AW31" i="63"/>
  <c r="AW42" i="63" s="1"/>
  <c r="BU31" i="63"/>
  <c r="BU46" i="63" s="1"/>
  <c r="V39" i="63"/>
  <c r="AI30" i="63"/>
  <c r="AN31" i="63"/>
  <c r="AN42" i="63" s="1"/>
  <c r="BL31" i="63"/>
  <c r="S27" i="63"/>
  <c r="C27" i="63" s="1"/>
  <c r="AT40" i="63"/>
  <c r="AA29" i="63"/>
  <c r="D29" i="63" s="1"/>
  <c r="AI29" i="63"/>
  <c r="E29" i="63" s="1"/>
  <c r="P31" i="63"/>
  <c r="P46" i="63" s="1"/>
  <c r="CA31" i="63"/>
  <c r="CA46" i="63" s="1"/>
  <c r="Q31" i="63"/>
  <c r="Q46" i="63" s="1"/>
  <c r="AA27" i="63"/>
  <c r="D27" i="63" s="1"/>
  <c r="BN40" i="63"/>
  <c r="BT41" i="63"/>
  <c r="BF31" i="63"/>
  <c r="BF46" i="63" s="1"/>
  <c r="BW27" i="63"/>
  <c r="J27" i="63" s="1"/>
  <c r="AI25" i="63"/>
  <c r="E25" i="63" s="1"/>
  <c r="BK31" i="63"/>
  <c r="BK46" i="63" s="1"/>
  <c r="BF35" i="63"/>
  <c r="AM31" i="63"/>
  <c r="AM46" i="63" s="1"/>
  <c r="V31" i="63"/>
  <c r="V42" i="63" s="1"/>
  <c r="O41" i="63"/>
  <c r="N39" i="63"/>
  <c r="S28" i="63"/>
  <c r="Y35" i="63"/>
  <c r="Y31" i="63"/>
  <c r="V36" i="63"/>
  <c r="BZ36" i="63"/>
  <c r="CE25" i="63"/>
  <c r="K25" i="63" s="1"/>
  <c r="O37" i="63"/>
  <c r="AN37" i="63"/>
  <c r="BJ37" i="63"/>
  <c r="AF38" i="63"/>
  <c r="AO38" i="63"/>
  <c r="CA38" i="63"/>
  <c r="AO39" i="63"/>
  <c r="BB39" i="63"/>
  <c r="N40" i="63"/>
  <c r="X40" i="63"/>
  <c r="AG40" i="63"/>
  <c r="BD40" i="63"/>
  <c r="CC40" i="63"/>
  <c r="BD41" i="63"/>
  <c r="CB35" i="63"/>
  <c r="CC36" i="63"/>
  <c r="O38" i="63"/>
  <c r="X35" i="63"/>
  <c r="X31" i="63"/>
  <c r="CD35" i="63"/>
  <c r="CD31" i="63"/>
  <c r="BZ38" i="63"/>
  <c r="CE27" i="63"/>
  <c r="K27" i="63" s="1"/>
  <c r="CA41" i="63"/>
  <c r="BU35" i="63"/>
  <c r="AF36" i="63"/>
  <c r="BC36" i="63"/>
  <c r="AD37" i="63"/>
  <c r="BK37" i="63"/>
  <c r="BD38" i="63"/>
  <c r="BC39" i="63"/>
  <c r="BL39" i="63"/>
  <c r="CE28" i="63"/>
  <c r="K28" i="63" s="1"/>
  <c r="BE40" i="63"/>
  <c r="BS40" i="63"/>
  <c r="AF41" i="63"/>
  <c r="CC35" i="63"/>
  <c r="AV39" i="63"/>
  <c r="BZ40" i="63"/>
  <c r="BS37" i="63"/>
  <c r="CA40" i="63"/>
  <c r="CB40" i="63"/>
  <c r="CE29" i="63"/>
  <c r="K29" i="63" s="1"/>
  <c r="BC41" i="63"/>
  <c r="W42" i="63"/>
  <c r="AX35" i="63"/>
  <c r="AX31" i="63"/>
  <c r="BM36" i="63"/>
  <c r="AO31" i="63"/>
  <c r="AO35" i="63"/>
  <c r="W36" i="63"/>
  <c r="AP31" i="63"/>
  <c r="AP35" i="63"/>
  <c r="BB35" i="63"/>
  <c r="BK42" i="63"/>
  <c r="AG36" i="63"/>
  <c r="BD36" i="63"/>
  <c r="AE37" i="63"/>
  <c r="BZ37" i="63"/>
  <c r="Y38" i="63"/>
  <c r="AT38" i="63"/>
  <c r="BE38" i="63"/>
  <c r="AF39" i="63"/>
  <c r="BM39" i="63"/>
  <c r="AU40" i="63"/>
  <c r="V41" i="63"/>
  <c r="AG41" i="63"/>
  <c r="P35" i="63"/>
  <c r="N35" i="63"/>
  <c r="N31" i="63"/>
  <c r="AL36" i="63"/>
  <c r="BS35" i="63"/>
  <c r="S25" i="63"/>
  <c r="O39" i="63"/>
  <c r="BM40" i="63"/>
  <c r="BE41" i="63"/>
  <c r="Y41" i="63"/>
  <c r="BT35" i="63"/>
  <c r="BT31" i="63"/>
  <c r="BB36" i="63"/>
  <c r="Q42" i="63"/>
  <c r="BJ35" i="63"/>
  <c r="BJ31" i="63"/>
  <c r="BO31" i="63" s="1"/>
  <c r="AE35" i="63"/>
  <c r="AF35" i="63"/>
  <c r="AF31" i="63"/>
  <c r="BL42" i="63"/>
  <c r="BL46" i="63"/>
  <c r="CE24" i="63"/>
  <c r="K24" i="63" s="1"/>
  <c r="AT36" i="63"/>
  <c r="BE36" i="63"/>
  <c r="BS36" i="63"/>
  <c r="AF37" i="63"/>
  <c r="BD37" i="63"/>
  <c r="AG39" i="63"/>
  <c r="CB39" i="63"/>
  <c r="W41" i="63"/>
  <c r="Q35" i="63"/>
  <c r="X41" i="63"/>
  <c r="N37" i="63"/>
  <c r="S26" i="63"/>
  <c r="AE38" i="63"/>
  <c r="BJ39" i="63"/>
  <c r="I28" i="63"/>
  <c r="BC40" i="63"/>
  <c r="V35" i="63"/>
  <c r="AG35" i="63"/>
  <c r="AG31" i="63"/>
  <c r="AU36" i="63"/>
  <c r="BT36" i="63"/>
  <c r="AG37" i="63"/>
  <c r="W39" i="63"/>
  <c r="BR39" i="63"/>
  <c r="CC39" i="63"/>
  <c r="AL40" i="63"/>
  <c r="BB31" i="63"/>
  <c r="AM36" i="63"/>
  <c r="BU38" i="63"/>
  <c r="Q40" i="63"/>
  <c r="AU41" i="63"/>
  <c r="O35" i="63"/>
  <c r="O31" i="63"/>
  <c r="N41" i="63"/>
  <c r="BJ41" i="63"/>
  <c r="W35" i="63"/>
  <c r="AH35" i="63"/>
  <c r="AH31" i="63"/>
  <c r="CB31" i="63"/>
  <c r="I25" i="63"/>
  <c r="W37" i="63"/>
  <c r="BW26" i="63"/>
  <c r="J26" i="63" s="1"/>
  <c r="CC37" i="63"/>
  <c r="AL38" i="63"/>
  <c r="BK38" i="63"/>
  <c r="X39" i="63"/>
  <c r="AL39" i="63"/>
  <c r="BS39" i="63"/>
  <c r="S29" i="63"/>
  <c r="AM40" i="63"/>
  <c r="BL41" i="63"/>
  <c r="BW30" i="63"/>
  <c r="J30" i="63" s="1"/>
  <c r="AM35" i="63"/>
  <c r="AN36" i="63"/>
  <c r="AT37" i="63"/>
  <c r="W40" i="63"/>
  <c r="BC35" i="63"/>
  <c r="AV36" i="63"/>
  <c r="BF36" i="63"/>
  <c r="CA36" i="63"/>
  <c r="P37" i="63"/>
  <c r="Y37" i="63"/>
  <c r="BB37" i="63"/>
  <c r="CE26" i="63"/>
  <c r="K26" i="63" s="1"/>
  <c r="AD38" i="63"/>
  <c r="AM38" i="63"/>
  <c r="AV38" i="63"/>
  <c r="BF38" i="63"/>
  <c r="Y39" i="63"/>
  <c r="AH39" i="63"/>
  <c r="BK39" i="63"/>
  <c r="BU39" i="63"/>
  <c r="AD40" i="63"/>
  <c r="AV40" i="63"/>
  <c r="BF40" i="63"/>
  <c r="BW29" i="63"/>
  <c r="J29" i="63" s="1"/>
  <c r="BR40" i="63"/>
  <c r="S30" i="63"/>
  <c r="CE30" i="63"/>
  <c r="K30" i="63" s="1"/>
  <c r="BC31" i="63"/>
  <c r="BV31" i="63"/>
  <c r="BK35" i="63"/>
  <c r="CD41" i="63"/>
  <c r="R31" i="63"/>
  <c r="R35" i="63"/>
  <c r="AT35" i="63"/>
  <c r="BD35" i="63"/>
  <c r="BD31" i="63"/>
  <c r="AE36" i="63"/>
  <c r="BR36" i="63"/>
  <c r="CB36" i="63"/>
  <c r="Q37" i="63"/>
  <c r="Z37" i="63"/>
  <c r="BC37" i="63"/>
  <c r="BL37" i="63"/>
  <c r="BV37" i="63"/>
  <c r="AN38" i="63"/>
  <c r="AW38" i="63"/>
  <c r="BR38" i="63"/>
  <c r="CB38" i="63"/>
  <c r="Q39" i="63"/>
  <c r="V40" i="63"/>
  <c r="AE40" i="63"/>
  <c r="AN40" i="63"/>
  <c r="CD40" i="63"/>
  <c r="Z31" i="63"/>
  <c r="BL35" i="63"/>
  <c r="AL31" i="63"/>
  <c r="AU35" i="63"/>
  <c r="AU31" i="63"/>
  <c r="BE35" i="63"/>
  <c r="BE31" i="63"/>
  <c r="BM35" i="63"/>
  <c r="BM31" i="63"/>
  <c r="BW24" i="63"/>
  <c r="J24" i="63" s="1"/>
  <c r="N36" i="63"/>
  <c r="AO36" i="63"/>
  <c r="BM37" i="63"/>
  <c r="N38" i="63"/>
  <c r="W38" i="63"/>
  <c r="AX38" i="63"/>
  <c r="BS38" i="63"/>
  <c r="CC38" i="63"/>
  <c r="R39" i="63"/>
  <c r="AT39" i="63"/>
  <c r="BD39" i="63"/>
  <c r="BW28" i="63"/>
  <c r="J28" i="63" s="1"/>
  <c r="AF40" i="63"/>
  <c r="AO40" i="63"/>
  <c r="AX40" i="63"/>
  <c r="BT40" i="63"/>
  <c r="P41" i="63"/>
  <c r="Z41" i="63"/>
  <c r="BF41" i="63"/>
  <c r="BR41" i="63"/>
  <c r="CB41" i="63"/>
  <c r="AV35" i="63"/>
  <c r="BR35" i="63"/>
  <c r="AH41" i="63"/>
  <c r="AD31" i="63"/>
  <c r="AD35" i="63"/>
  <c r="BN35" i="63"/>
  <c r="BN31" i="63"/>
  <c r="BZ31" i="63"/>
  <c r="BZ35" i="63"/>
  <c r="O36" i="63"/>
  <c r="X36" i="63"/>
  <c r="AL37" i="63"/>
  <c r="AU37" i="63"/>
  <c r="BE37" i="63"/>
  <c r="X38" i="63"/>
  <c r="AG38" i="63"/>
  <c r="BJ38" i="63"/>
  <c r="BT38" i="63"/>
  <c r="CD38" i="63"/>
  <c r="AU39" i="63"/>
  <c r="BE39" i="63"/>
  <c r="BN39" i="63"/>
  <c r="BZ39" i="63"/>
  <c r="O40" i="63"/>
  <c r="AP40" i="63"/>
  <c r="BU40" i="63"/>
  <c r="Q41" i="63"/>
  <c r="AV41" i="63"/>
  <c r="BS41" i="63"/>
  <c r="CC41" i="63"/>
  <c r="AE31" i="63"/>
  <c r="AT31" i="63"/>
  <c r="AW35" i="63"/>
  <c r="BN41" i="63"/>
  <c r="AN35" i="63"/>
  <c r="AW46" i="63"/>
  <c r="CA35" i="63"/>
  <c r="P36" i="63"/>
  <c r="Y36" i="63"/>
  <c r="AH36" i="63"/>
  <c r="BK36" i="63"/>
  <c r="BU36" i="63"/>
  <c r="AM37" i="63"/>
  <c r="AV37" i="63"/>
  <c r="BF37" i="63"/>
  <c r="CA37" i="63"/>
  <c r="P38" i="63"/>
  <c r="AH38" i="63"/>
  <c r="AD39" i="63"/>
  <c r="AM39" i="63"/>
  <c r="CA39" i="63"/>
  <c r="P40" i="63"/>
  <c r="Y40" i="63"/>
  <c r="BB40" i="63"/>
  <c r="BK40" i="63"/>
  <c r="BV40" i="63"/>
  <c r="AM41" i="63"/>
  <c r="AW41" i="63"/>
  <c r="V37" i="63"/>
  <c r="AW37" i="63"/>
  <c r="BR37" i="63"/>
  <c r="CB37" i="63"/>
  <c r="Q38" i="63"/>
  <c r="Z38" i="63"/>
  <c r="BC38" i="63"/>
  <c r="AE39" i="63"/>
  <c r="AN39" i="63"/>
  <c r="AW39" i="63"/>
  <c r="Z40" i="63"/>
  <c r="BL40" i="63"/>
  <c r="AE41" i="63"/>
  <c r="BK41" i="63"/>
  <c r="BU41" i="63"/>
  <c r="AT41" i="63"/>
  <c r="AL41" i="63"/>
  <c r="BJ40" i="63"/>
  <c r="E32" i="64" l="1"/>
  <c r="E33" i="64"/>
  <c r="H116" i="64"/>
  <c r="G117" i="64"/>
  <c r="EO35" i="64"/>
  <c r="EO39" i="64"/>
  <c r="G13" i="62"/>
  <c r="EO41" i="64"/>
  <c r="EO37" i="64"/>
  <c r="EO36" i="64"/>
  <c r="EO40" i="64"/>
  <c r="AG50" i="64"/>
  <c r="BM50" i="64"/>
  <c r="CS50" i="64"/>
  <c r="DI50" i="64"/>
  <c r="AW50" i="64"/>
  <c r="DY50" i="64"/>
  <c r="CC50" i="64"/>
  <c r="R32" i="64"/>
  <c r="R33" i="64"/>
  <c r="H16" i="62" a="1"/>
  <c r="H16" i="62" s="1"/>
  <c r="R47" i="64"/>
  <c r="H14" i="62" a="1"/>
  <c r="H14" i="62" s="1"/>
  <c r="P47" i="64"/>
  <c r="H12" i="62" a="1"/>
  <c r="H12" i="62" s="1"/>
  <c r="N47" i="64"/>
  <c r="H10" i="62" a="1"/>
  <c r="H10" i="62" s="1"/>
  <c r="L47" i="64"/>
  <c r="H8" i="62" a="1"/>
  <c r="H8" i="62" s="1"/>
  <c r="J47" i="64"/>
  <c r="H17" i="62" a="1"/>
  <c r="H17" i="62" s="1"/>
  <c r="R48" i="64"/>
  <c r="H15" i="62" a="1"/>
  <c r="H15" i="62" s="1"/>
  <c r="P48" i="64"/>
  <c r="H13" i="62" a="1"/>
  <c r="H13" i="62" s="1"/>
  <c r="N48" i="64"/>
  <c r="H11" i="62" a="1"/>
  <c r="H11" i="62" s="1"/>
  <c r="L48" i="64"/>
  <c r="H9" i="62" a="1"/>
  <c r="H9" i="62" s="1"/>
  <c r="J48" i="64"/>
  <c r="H48" i="64"/>
  <c r="H47" i="64"/>
  <c r="AW35" i="64"/>
  <c r="G35" i="64" s="1"/>
  <c r="DQ42" i="64"/>
  <c r="P42" i="64" s="1"/>
  <c r="H5" i="62" a="1"/>
  <c r="H5" i="62" s="1"/>
  <c r="DQ40" i="64"/>
  <c r="P40" i="64" s="1"/>
  <c r="EG37" i="64"/>
  <c r="R37" i="64" s="1"/>
  <c r="DA40" i="64"/>
  <c r="N40" i="64" s="1"/>
  <c r="DY40" i="64"/>
  <c r="Q40" i="64" s="1"/>
  <c r="DI42" i="64"/>
  <c r="O42" i="64" s="1"/>
  <c r="DQ37" i="64"/>
  <c r="P37" i="64" s="1"/>
  <c r="EG39" i="64"/>
  <c r="R39" i="64" s="1"/>
  <c r="EG38" i="64"/>
  <c r="R38" i="64" s="1"/>
  <c r="DQ35" i="64"/>
  <c r="P35" i="64" s="1"/>
  <c r="AG46" i="64"/>
  <c r="C46" i="64" s="1"/>
  <c r="DI38" i="64"/>
  <c r="O38" i="64" s="1"/>
  <c r="EG40" i="64"/>
  <c r="R40" i="64" s="1"/>
  <c r="DI37" i="64"/>
  <c r="O37" i="64" s="1"/>
  <c r="DY42" i="64"/>
  <c r="Q42" i="64" s="1"/>
  <c r="DY41" i="64"/>
  <c r="Q41" i="64" s="1"/>
  <c r="DY36" i="64"/>
  <c r="Q36" i="64" s="1"/>
  <c r="DA35" i="64"/>
  <c r="N35" i="64" s="1"/>
  <c r="DA42" i="64"/>
  <c r="N42" i="64" s="1"/>
  <c r="DQ41" i="64"/>
  <c r="P41" i="64" s="1"/>
  <c r="EG35" i="64"/>
  <c r="R35" i="64" s="1"/>
  <c r="EG42" i="64"/>
  <c r="R42" i="64" s="1"/>
  <c r="EG36" i="64"/>
  <c r="R36" i="64" s="1"/>
  <c r="DY39" i="64"/>
  <c r="Q39" i="64" s="1"/>
  <c r="EG41" i="64"/>
  <c r="R41" i="64" s="1"/>
  <c r="DY38" i="64"/>
  <c r="Q38" i="64" s="1"/>
  <c r="DA41" i="64"/>
  <c r="N41" i="64" s="1"/>
  <c r="DQ39" i="64"/>
  <c r="P39" i="64" s="1"/>
  <c r="DY35" i="64"/>
  <c r="Q35" i="64" s="1"/>
  <c r="DI39" i="64"/>
  <c r="O39" i="64" s="1"/>
  <c r="DY37" i="64"/>
  <c r="Q37" i="64" s="1"/>
  <c r="DA36" i="64"/>
  <c r="N36" i="64" s="1"/>
  <c r="DQ38" i="64"/>
  <c r="P38" i="64" s="1"/>
  <c r="DI36" i="64"/>
  <c r="O36" i="64" s="1"/>
  <c r="DI41" i="64"/>
  <c r="O41" i="64" s="1"/>
  <c r="DQ36" i="64"/>
  <c r="P36" i="64" s="1"/>
  <c r="DA38" i="64"/>
  <c r="N38" i="64" s="1"/>
  <c r="DA37" i="64"/>
  <c r="N37" i="64" s="1"/>
  <c r="DA39" i="64"/>
  <c r="N39" i="64" s="1"/>
  <c r="DI40" i="64"/>
  <c r="O40" i="64" s="1"/>
  <c r="DI35" i="64"/>
  <c r="O35" i="64" s="1"/>
  <c r="H30" i="63"/>
  <c r="BG32" i="63"/>
  <c r="BE35" i="64"/>
  <c r="H35" i="64" s="1"/>
  <c r="CK35" i="64"/>
  <c r="L35" i="64" s="1"/>
  <c r="BM42" i="64"/>
  <c r="BM35" i="64"/>
  <c r="I35" i="64" s="1"/>
  <c r="CS36" i="64"/>
  <c r="M36" i="64" s="1"/>
  <c r="AO39" i="64"/>
  <c r="D39" i="64" s="1"/>
  <c r="AO41" i="64"/>
  <c r="D41" i="64" s="1"/>
  <c r="CK38" i="64"/>
  <c r="L38" i="64" s="1"/>
  <c r="CK41" i="64"/>
  <c r="L41" i="64" s="1"/>
  <c r="BU41" i="64"/>
  <c r="J41" i="64" s="1"/>
  <c r="CS40" i="64"/>
  <c r="M40" i="64" s="1"/>
  <c r="BE42" i="64"/>
  <c r="H42" i="64" s="1"/>
  <c r="CC41" i="64"/>
  <c r="K41" i="64" s="1"/>
  <c r="AW37" i="64"/>
  <c r="G37" i="64" s="1"/>
  <c r="AW39" i="64"/>
  <c r="G39" i="64" s="1"/>
  <c r="BU35" i="64"/>
  <c r="J35" i="64" s="1"/>
  <c r="AG38" i="64"/>
  <c r="C38" i="64" s="1"/>
  <c r="CK36" i="64"/>
  <c r="L36" i="64" s="1"/>
  <c r="AG35" i="64"/>
  <c r="C35" i="64" s="1"/>
  <c r="CK37" i="64"/>
  <c r="L37" i="64" s="1"/>
  <c r="AG42" i="64"/>
  <c r="C42" i="64" s="1"/>
  <c r="AW40" i="64"/>
  <c r="G40" i="64" s="1"/>
  <c r="BE40" i="64"/>
  <c r="H40" i="64" s="1"/>
  <c r="CC40" i="64"/>
  <c r="K40" i="64" s="1"/>
  <c r="AO42" i="64"/>
  <c r="D42" i="64" s="1"/>
  <c r="CS41" i="64"/>
  <c r="M41" i="64" s="1"/>
  <c r="CS37" i="64"/>
  <c r="M37" i="64" s="1"/>
  <c r="AG41" i="64"/>
  <c r="C41" i="64" s="1"/>
  <c r="BE39" i="64"/>
  <c r="H39" i="64" s="1"/>
  <c r="CK42" i="64"/>
  <c r="L42" i="64" s="1"/>
  <c r="BU40" i="64"/>
  <c r="J40" i="64" s="1"/>
  <c r="BM39" i="64"/>
  <c r="I39" i="64" s="1"/>
  <c r="BM38" i="64"/>
  <c r="I38" i="64" s="1"/>
  <c r="CC38" i="64"/>
  <c r="K38" i="64" s="1"/>
  <c r="AW38" i="64"/>
  <c r="G38" i="64" s="1"/>
  <c r="CS38" i="64"/>
  <c r="M38" i="64" s="1"/>
  <c r="AO40" i="64"/>
  <c r="D40" i="64" s="1"/>
  <c r="BU37" i="64"/>
  <c r="J37" i="64" s="1"/>
  <c r="BU42" i="64"/>
  <c r="J42" i="64" s="1"/>
  <c r="BU39" i="64"/>
  <c r="J39" i="64" s="1"/>
  <c r="AO36" i="64"/>
  <c r="D36" i="64" s="1"/>
  <c r="AG36" i="64"/>
  <c r="C36" i="64" s="1"/>
  <c r="BM37" i="64"/>
  <c r="I37" i="64" s="1"/>
  <c r="BE41" i="64"/>
  <c r="H41" i="64" s="1"/>
  <c r="BE38" i="64"/>
  <c r="H38" i="64" s="1"/>
  <c r="BM36" i="64"/>
  <c r="I36" i="64" s="1"/>
  <c r="CK40" i="64"/>
  <c r="L40" i="64" s="1"/>
  <c r="CS42" i="64"/>
  <c r="CC35" i="64"/>
  <c r="K35" i="64" s="1"/>
  <c r="BU38" i="64"/>
  <c r="J38" i="64" s="1"/>
  <c r="BE36" i="64"/>
  <c r="H36" i="64" s="1"/>
  <c r="AO37" i="64"/>
  <c r="D37" i="64" s="1"/>
  <c r="BE37" i="64"/>
  <c r="H37" i="64" s="1"/>
  <c r="BU36" i="64"/>
  <c r="J36" i="64" s="1"/>
  <c r="AO35" i="64"/>
  <c r="D35" i="64" s="1"/>
  <c r="AG37" i="64"/>
  <c r="C37" i="64" s="1"/>
  <c r="CC42" i="64"/>
  <c r="K42" i="64" s="1"/>
  <c r="CC39" i="64"/>
  <c r="K39" i="64" s="1"/>
  <c r="AG39" i="64"/>
  <c r="C39" i="64" s="1"/>
  <c r="CS39" i="64"/>
  <c r="M39" i="64" s="1"/>
  <c r="AO38" i="64"/>
  <c r="D38" i="64" s="1"/>
  <c r="CK39" i="64"/>
  <c r="L39" i="64" s="1"/>
  <c r="AW42" i="64"/>
  <c r="G42" i="64" s="1"/>
  <c r="CS35" i="64"/>
  <c r="M35" i="64" s="1"/>
  <c r="AG40" i="64"/>
  <c r="C40" i="64" s="1"/>
  <c r="CC37" i="64"/>
  <c r="K37" i="64" s="1"/>
  <c r="BM40" i="64"/>
  <c r="I40" i="64" s="1"/>
  <c r="AW36" i="64"/>
  <c r="G36" i="64" s="1"/>
  <c r="BM41" i="64"/>
  <c r="I41" i="64" s="1"/>
  <c r="AW41" i="64"/>
  <c r="G41" i="64" s="1"/>
  <c r="CC36" i="64"/>
  <c r="K36" i="64" s="1"/>
  <c r="BG31" i="63"/>
  <c r="H31" i="63" s="1"/>
  <c r="S32" i="63"/>
  <c r="AY32" i="63"/>
  <c r="G30" i="63"/>
  <c r="E30" i="63"/>
  <c r="AI32" i="63"/>
  <c r="AQ32" i="63"/>
  <c r="D30" i="63"/>
  <c r="AA32" i="63"/>
  <c r="BW37" i="63"/>
  <c r="J37" i="63" s="1"/>
  <c r="BO38" i="63"/>
  <c r="I38" i="63" s="1"/>
  <c r="AY31" i="63"/>
  <c r="AQ31" i="63"/>
  <c r="F31" i="63" s="1"/>
  <c r="Q26" i="58"/>
  <c r="X18" i="58"/>
  <c r="X27" i="58"/>
  <c r="X29" i="58" s="1"/>
  <c r="X21" i="58"/>
  <c r="X40" i="58" s="1"/>
  <c r="X41" i="58" s="1"/>
  <c r="X20" i="58"/>
  <c r="Z20" i="58" s="1"/>
  <c r="Z21" i="58" s="1"/>
  <c r="BR42" i="63"/>
  <c r="V46" i="63"/>
  <c r="CC42" i="63"/>
  <c r="AV42" i="63"/>
  <c r="AY41" i="63"/>
  <c r="G41" i="63" s="1"/>
  <c r="BF42" i="63"/>
  <c r="AQ35" i="63"/>
  <c r="F35" i="63" s="1"/>
  <c r="BU42" i="63"/>
  <c r="CE39" i="63"/>
  <c r="K39" i="63" s="1"/>
  <c r="AA38" i="63"/>
  <c r="D38" i="63" s="1"/>
  <c r="AY40" i="63"/>
  <c r="G40" i="63" s="1"/>
  <c r="AM42" i="63"/>
  <c r="AI36" i="63"/>
  <c r="E36" i="63" s="1"/>
  <c r="CA42" i="63"/>
  <c r="AN46" i="63"/>
  <c r="AI41" i="63"/>
  <c r="E41" i="63" s="1"/>
  <c r="AI31" i="63"/>
  <c r="E31" i="63" s="1"/>
  <c r="S36" i="63"/>
  <c r="AA39" i="63"/>
  <c r="D39" i="63" s="1"/>
  <c r="P42" i="63"/>
  <c r="CE41" i="63"/>
  <c r="K41" i="63" s="1"/>
  <c r="AA31" i="63"/>
  <c r="D31" i="63" s="1"/>
  <c r="BO36" i="63"/>
  <c r="I36" i="63" s="1"/>
  <c r="BG41" i="63"/>
  <c r="H41" i="63" s="1"/>
  <c r="BG38" i="63"/>
  <c r="H38" i="63" s="1"/>
  <c r="BG37" i="63"/>
  <c r="H37" i="63" s="1"/>
  <c r="BW31" i="63"/>
  <c r="AY37" i="63"/>
  <c r="G37" i="63" s="1"/>
  <c r="AY35" i="63"/>
  <c r="G35" i="63" s="1"/>
  <c r="AQ38" i="63"/>
  <c r="F38" i="63" s="1"/>
  <c r="AQ41" i="63"/>
  <c r="F41" i="63" s="1"/>
  <c r="CE35" i="63"/>
  <c r="K35" i="63" s="1"/>
  <c r="C29" i="63"/>
  <c r="BO39" i="63"/>
  <c r="I39" i="63" s="1"/>
  <c r="AY36" i="63"/>
  <c r="G36" i="63" s="1"/>
  <c r="S35" i="63"/>
  <c r="X42" i="63"/>
  <c r="X46" i="63"/>
  <c r="Y46" i="63"/>
  <c r="Y42" i="63"/>
  <c r="AD42" i="63"/>
  <c r="AD46" i="63"/>
  <c r="AL46" i="63"/>
  <c r="AL42" i="63"/>
  <c r="C30" i="63"/>
  <c r="BW40" i="63"/>
  <c r="J40" i="63" s="1"/>
  <c r="BN42" i="63"/>
  <c r="BN46" i="63"/>
  <c r="Z46" i="63"/>
  <c r="Z42" i="63"/>
  <c r="R42" i="63"/>
  <c r="R46" i="63"/>
  <c r="BJ42" i="63"/>
  <c r="BJ46" i="63"/>
  <c r="CE38" i="63"/>
  <c r="K38" i="63" s="1"/>
  <c r="BT42" i="63"/>
  <c r="BT46" i="63"/>
  <c r="BZ42" i="63"/>
  <c r="BZ46" i="63"/>
  <c r="CE31" i="63"/>
  <c r="BW38" i="63"/>
  <c r="J38" i="63" s="1"/>
  <c r="AA37" i="63"/>
  <c r="D37" i="63" s="1"/>
  <c r="BE46" i="63"/>
  <c r="BE42" i="63"/>
  <c r="BW36" i="63"/>
  <c r="J36" i="63" s="1"/>
  <c r="AQ39" i="63"/>
  <c r="F39" i="63" s="1"/>
  <c r="BO41" i="63"/>
  <c r="I41" i="63" s="1"/>
  <c r="BW39" i="63"/>
  <c r="J39" i="63" s="1"/>
  <c r="C26" i="63"/>
  <c r="BO35" i="63"/>
  <c r="I35" i="63" s="1"/>
  <c r="AO42" i="63"/>
  <c r="AO46" i="63"/>
  <c r="CD42" i="63"/>
  <c r="CD46" i="63"/>
  <c r="CE36" i="63"/>
  <c r="K36" i="63" s="1"/>
  <c r="BB42" i="63"/>
  <c r="BB46" i="63"/>
  <c r="BG40" i="63"/>
  <c r="H40" i="63" s="1"/>
  <c r="AE46" i="63"/>
  <c r="AE42" i="63"/>
  <c r="N42" i="63"/>
  <c r="S31" i="63"/>
  <c r="N46" i="63"/>
  <c r="BO40" i="63"/>
  <c r="I40" i="63" s="1"/>
  <c r="BW41" i="63"/>
  <c r="J41" i="63" s="1"/>
  <c r="S38" i="63"/>
  <c r="BS46" i="63"/>
  <c r="BS42" i="63"/>
  <c r="S41" i="63"/>
  <c r="C41" i="63" s="1"/>
  <c r="AG42" i="63"/>
  <c r="AG46" i="63"/>
  <c r="S37" i="63"/>
  <c r="AY38" i="63"/>
  <c r="G38" i="63" s="1"/>
  <c r="AA36" i="63"/>
  <c r="D36" i="63" s="1"/>
  <c r="C28" i="63"/>
  <c r="AT42" i="63"/>
  <c r="AT46" i="63"/>
  <c r="AH42" i="63"/>
  <c r="AH46" i="63"/>
  <c r="C24" i="63"/>
  <c r="AP42" i="63"/>
  <c r="AP46" i="63"/>
  <c r="BW35" i="63"/>
  <c r="J35" i="63" s="1"/>
  <c r="BM42" i="63"/>
  <c r="BM46" i="63"/>
  <c r="AQ40" i="63"/>
  <c r="F40" i="63" s="1"/>
  <c r="AI39" i="63"/>
  <c r="E39" i="63" s="1"/>
  <c r="AQ37" i="63"/>
  <c r="F37" i="63" s="1"/>
  <c r="AU46" i="63"/>
  <c r="AU42" i="63"/>
  <c r="BV42" i="63"/>
  <c r="BV46" i="63"/>
  <c r="AI40" i="63"/>
  <c r="E40" i="63" s="1"/>
  <c r="BG35" i="63"/>
  <c r="H35" i="63" s="1"/>
  <c r="AX42" i="63"/>
  <c r="AX46" i="63"/>
  <c r="CE40" i="63"/>
  <c r="K40" i="63" s="1"/>
  <c r="S40" i="63"/>
  <c r="C40" i="63" s="1"/>
  <c r="BO37" i="63"/>
  <c r="I37" i="63" s="1"/>
  <c r="S39" i="63"/>
  <c r="C39" i="63" s="1"/>
  <c r="AI37" i="63"/>
  <c r="E37" i="63" s="1"/>
  <c r="AI35" i="63"/>
  <c r="E35" i="63" s="1"/>
  <c r="AY39" i="63"/>
  <c r="G39" i="63" s="1"/>
  <c r="AA40" i="63"/>
  <c r="D40" i="63" s="1"/>
  <c r="BD42" i="63"/>
  <c r="BD46" i="63"/>
  <c r="BC42" i="63"/>
  <c r="BC46" i="63"/>
  <c r="AI38" i="63"/>
  <c r="E38" i="63" s="1"/>
  <c r="CB46" i="63"/>
  <c r="CB42" i="63"/>
  <c r="O46" i="63"/>
  <c r="O42" i="63"/>
  <c r="AA35" i="63"/>
  <c r="D35" i="63" s="1"/>
  <c r="AF42" i="63"/>
  <c r="AF46" i="63"/>
  <c r="BG36" i="63"/>
  <c r="H36" i="63" s="1"/>
  <c r="C25" i="63"/>
  <c r="AQ36" i="63"/>
  <c r="F36" i="63" s="1"/>
  <c r="AA41" i="63"/>
  <c r="D41" i="63" s="1"/>
  <c r="CE37" i="63"/>
  <c r="K37" i="63" s="1"/>
  <c r="BG39" i="63"/>
  <c r="H39" i="63" s="1"/>
  <c r="H115" i="64" l="1"/>
  <c r="I116" i="64" s="1"/>
  <c r="D115" i="64"/>
  <c r="D116" i="64"/>
  <c r="F6" i="62" a="1"/>
  <c r="F6" i="62" s="1"/>
  <c r="F31" i="64"/>
  <c r="F33" i="64" s="1"/>
  <c r="D44" i="64"/>
  <c r="D15" i="62" a="1"/>
  <c r="D15" i="62" s="1"/>
  <c r="D11" i="62" a="1"/>
  <c r="D11" i="62" s="1"/>
  <c r="D17" i="62" a="1"/>
  <c r="D17" i="62" s="1"/>
  <c r="D16" i="62" a="1"/>
  <c r="D16" i="62" s="1"/>
  <c r="D5" i="62" a="1"/>
  <c r="D5" i="62" s="1"/>
  <c r="D4" i="62" a="1"/>
  <c r="D4" i="62" s="1"/>
  <c r="X22" i="58"/>
  <c r="G53" i="64"/>
  <c r="G54" i="64" s="1"/>
  <c r="K53" i="64"/>
  <c r="I53" i="64"/>
  <c r="I54" i="64" s="1"/>
  <c r="M53" i="64"/>
  <c r="Q53" i="64"/>
  <c r="C53" i="64"/>
  <c r="C54" i="64" s="1"/>
  <c r="O53" i="64"/>
  <c r="U46" i="64"/>
  <c r="D47" i="64"/>
  <c r="I15" i="62"/>
  <c r="I17" i="62"/>
  <c r="I13" i="62"/>
  <c r="I42" i="64"/>
  <c r="D8" i="62" s="1" a="1"/>
  <c r="D8" i="62" s="1"/>
  <c r="I9" i="62"/>
  <c r="I11" i="62"/>
  <c r="R44" i="64"/>
  <c r="R43" i="64"/>
  <c r="P44" i="64"/>
  <c r="P43" i="64"/>
  <c r="L43" i="64"/>
  <c r="L44" i="64"/>
  <c r="H43" i="64"/>
  <c r="H44" i="64"/>
  <c r="H4" i="62" a="1"/>
  <c r="H4" i="62" s="1"/>
  <c r="D48" i="64"/>
  <c r="M42" i="64"/>
  <c r="D12" i="62" s="1" a="1"/>
  <c r="D12" i="62" s="1"/>
  <c r="D43" i="64"/>
  <c r="BG33" i="63"/>
  <c r="AY33" i="63"/>
  <c r="AQ33" i="63"/>
  <c r="C35" i="63"/>
  <c r="C31" i="63"/>
  <c r="E32" i="63" s="1"/>
  <c r="S33" i="63"/>
  <c r="C38" i="63"/>
  <c r="C36" i="63"/>
  <c r="AI33" i="63"/>
  <c r="C37" i="63"/>
  <c r="AA33" i="63"/>
  <c r="I31" i="63"/>
  <c r="J31" i="63"/>
  <c r="K31" i="63"/>
  <c r="G31" i="63"/>
  <c r="X26" i="58"/>
  <c r="AY46" i="63"/>
  <c r="AY42" i="63"/>
  <c r="G42" i="63" s="1"/>
  <c r="CE46" i="63"/>
  <c r="AA46" i="63"/>
  <c r="AA42" i="63"/>
  <c r="BW42" i="63"/>
  <c r="BW46" i="63"/>
  <c r="BO42" i="63"/>
  <c r="S46" i="63"/>
  <c r="C46" i="63" s="1"/>
  <c r="CE42" i="63"/>
  <c r="AQ46" i="63"/>
  <c r="BG46" i="63"/>
  <c r="AQ42" i="63"/>
  <c r="S42" i="63"/>
  <c r="C42" i="63" s="1"/>
  <c r="BG42" i="63"/>
  <c r="AI46" i="63"/>
  <c r="E46" i="63" s="1"/>
  <c r="AI42" i="63"/>
  <c r="E42" i="63" s="1"/>
  <c r="BO46" i="63"/>
  <c r="E173" i="61"/>
  <c r="X31" i="64" l="1"/>
  <c r="F32" i="64"/>
  <c r="Y47" i="64"/>
  <c r="Y48" i="64"/>
  <c r="E116" i="64"/>
  <c r="F7" i="62" a="1"/>
  <c r="F7" i="62" s="1"/>
  <c r="G7" i="62" s="1"/>
  <c r="D14" i="62" a="1"/>
  <c r="D14" i="62" s="1"/>
  <c r="E15" i="62" s="1"/>
  <c r="D10" i="62" a="1"/>
  <c r="D10" i="62" s="1"/>
  <c r="E11" i="62" s="1"/>
  <c r="D13" i="62" a="1"/>
  <c r="D13" i="62" s="1"/>
  <c r="E13" i="62" s="1"/>
  <c r="D9" i="62" a="1"/>
  <c r="D9" i="62" s="1"/>
  <c r="E9" i="62" s="1"/>
  <c r="U42" i="64"/>
  <c r="J43" i="64"/>
  <c r="J44" i="64"/>
  <c r="E17" i="62"/>
  <c r="N43" i="64"/>
  <c r="N44" i="64"/>
  <c r="H32" i="63"/>
  <c r="H33" i="63"/>
  <c r="F32" i="63"/>
  <c r="F33" i="63"/>
  <c r="E33" i="63"/>
  <c r="K33" i="63"/>
  <c r="J32" i="63"/>
  <c r="J33" i="63"/>
  <c r="K32" i="63"/>
  <c r="I32" i="63"/>
  <c r="I33" i="63"/>
  <c r="H42" i="63"/>
  <c r="I42" i="63"/>
  <c r="J46" i="63"/>
  <c r="K42" i="63"/>
  <c r="K43" i="63" s="1"/>
  <c r="J42" i="63"/>
  <c r="K46" i="63"/>
  <c r="H46" i="63"/>
  <c r="I46" i="63"/>
  <c r="G32" i="63"/>
  <c r="G33" i="63"/>
  <c r="F46" i="63"/>
  <c r="D42" i="63"/>
  <c r="F42" i="63"/>
  <c r="D46" i="63"/>
  <c r="G46" i="63"/>
  <c r="E48" i="63"/>
  <c r="E47" i="63"/>
  <c r="E44" i="63"/>
  <c r="E43" i="63"/>
  <c r="D33" i="63"/>
  <c r="D32" i="63"/>
  <c r="B182" i="61"/>
  <c r="B183" i="61" s="1"/>
  <c r="I43" i="63" l="1"/>
  <c r="G5" i="62"/>
  <c r="H47" i="63"/>
  <c r="J48" i="63"/>
  <c r="D48" i="63"/>
  <c r="I44" i="63"/>
  <c r="H44" i="63"/>
  <c r="H43" i="63"/>
  <c r="J43" i="63"/>
  <c r="I48" i="63"/>
  <c r="K48" i="63"/>
  <c r="K47" i="63"/>
  <c r="J44" i="63"/>
  <c r="K44" i="63"/>
  <c r="I47" i="63"/>
  <c r="H48" i="63"/>
  <c r="J47" i="63"/>
  <c r="F44" i="63"/>
  <c r="F48" i="63"/>
  <c r="D47" i="63"/>
  <c r="D43" i="63"/>
  <c r="F43" i="63"/>
  <c r="I5" i="62"/>
  <c r="F47" i="63"/>
  <c r="D44" i="63"/>
  <c r="E5" i="62"/>
  <c r="G47" i="63"/>
  <c r="G44" i="63"/>
  <c r="G43" i="63"/>
  <c r="G48" i="63"/>
  <c r="E172" i="61"/>
  <c r="E171" i="61"/>
  <c r="C23" i="43"/>
  <c r="AH31" i="43"/>
  <c r="AQ31" i="43"/>
  <c r="Y31" i="43"/>
  <c r="J10" i="60" l="1"/>
  <c r="J11" i="60"/>
  <c r="J12" i="60" s="1"/>
  <c r="S28" i="43"/>
  <c r="T28" i="43"/>
  <c r="U28" i="43"/>
  <c r="V28" i="43"/>
  <c r="AA28" i="43"/>
  <c r="AB28" i="43"/>
  <c r="AC28" i="43"/>
  <c r="AD28" i="43"/>
  <c r="AE28" i="43"/>
  <c r="S29" i="43"/>
  <c r="T29" i="43"/>
  <c r="U29" i="43"/>
  <c r="V29" i="43"/>
  <c r="AA29" i="43"/>
  <c r="AB29" i="43"/>
  <c r="AC29" i="43"/>
  <c r="AD29" i="43"/>
  <c r="AE29" i="43"/>
  <c r="S30" i="43"/>
  <c r="T30" i="43"/>
  <c r="U30" i="43"/>
  <c r="V30" i="43"/>
  <c r="AA30" i="43"/>
  <c r="AB30" i="43"/>
  <c r="AC30" i="43"/>
  <c r="AD30" i="43"/>
  <c r="AE30" i="43"/>
  <c r="AF29" i="43" l="1"/>
  <c r="AF28" i="43"/>
  <c r="AF30" i="43"/>
  <c r="D48" i="55"/>
  <c r="Q25" i="58"/>
  <c r="Q28" i="58"/>
  <c r="Q21" i="58"/>
  <c r="Q35" i="58"/>
  <c r="Q22" i="58"/>
  <c r="Q18" i="58"/>
  <c r="Q27" i="58"/>
  <c r="Q38" i="58" l="1"/>
  <c r="D28" i="43"/>
  <c r="D29" i="43"/>
  <c r="D30" i="43"/>
  <c r="Q29" i="58"/>
  <c r="J51" i="58"/>
  <c r="H51" i="58"/>
  <c r="I51" i="58" s="1"/>
  <c r="J50" i="58"/>
  <c r="H50" i="58"/>
  <c r="I50" i="58" s="1"/>
  <c r="J49" i="58"/>
  <c r="H49" i="58"/>
  <c r="I49" i="58" s="1"/>
  <c r="J48" i="58"/>
  <c r="H48" i="58"/>
  <c r="I48" i="58" s="1"/>
  <c r="J47" i="58"/>
  <c r="H47" i="58"/>
  <c r="I47" i="58" s="1"/>
  <c r="H46" i="58"/>
  <c r="I46" i="58" s="1"/>
  <c r="E34" i="58"/>
  <c r="J34" i="58" s="1"/>
  <c r="C34" i="58"/>
  <c r="L22" i="58"/>
  <c r="K22" i="58"/>
  <c r="I22" i="58"/>
  <c r="H22" i="58"/>
  <c r="L20" i="58"/>
  <c r="K20" i="58"/>
  <c r="I20" i="58"/>
  <c r="H20" i="58"/>
  <c r="L19" i="58"/>
  <c r="K19" i="58"/>
  <c r="I19" i="58"/>
  <c r="H19" i="58"/>
  <c r="L18" i="58"/>
  <c r="K18" i="58"/>
  <c r="I18" i="58"/>
  <c r="H18" i="58"/>
  <c r="L17" i="58"/>
  <c r="K17" i="58"/>
  <c r="I17" i="58"/>
  <c r="H17" i="58"/>
  <c r="L16" i="58"/>
  <c r="K16" i="58"/>
  <c r="K34" i="58" l="1"/>
  <c r="J46" i="58"/>
  <c r="I34" i="58"/>
  <c r="K25" i="55" l="1"/>
  <c r="E25" i="55"/>
  <c r="F25" i="55"/>
  <c r="G25" i="55"/>
  <c r="H25" i="55"/>
  <c r="I25" i="55"/>
  <c r="BI2" i="55" s="1"/>
  <c r="J25" i="55"/>
  <c r="D25" i="55"/>
  <c r="C25" i="55"/>
  <c r="CD32" i="55"/>
  <c r="CD43" i="55" s="1"/>
  <c r="CC32" i="55"/>
  <c r="CC43" i="55" s="1"/>
  <c r="CB32" i="55"/>
  <c r="CE32" i="55" s="1"/>
  <c r="CA32" i="55"/>
  <c r="CA43" i="55" s="1"/>
  <c r="BZ32" i="55"/>
  <c r="BZ43" i="55" s="1"/>
  <c r="CD31" i="55"/>
  <c r="CD42" i="55" s="1"/>
  <c r="CC31" i="55"/>
  <c r="CC42" i="55" s="1"/>
  <c r="CB31" i="55"/>
  <c r="CB42" i="55" s="1"/>
  <c r="CA31" i="55"/>
  <c r="CA42" i="55" s="1"/>
  <c r="BZ31" i="55"/>
  <c r="CD30" i="55"/>
  <c r="CD41" i="55" s="1"/>
  <c r="CC30" i="55"/>
  <c r="CC41" i="55" s="1"/>
  <c r="CB30" i="55"/>
  <c r="CB41" i="55" s="1"/>
  <c r="CA30" i="55"/>
  <c r="CA41" i="55" s="1"/>
  <c r="BZ30" i="55"/>
  <c r="CE30" i="55" s="1"/>
  <c r="CD29" i="55"/>
  <c r="CD40" i="55" s="1"/>
  <c r="CC29" i="55"/>
  <c r="CC40" i="55" s="1"/>
  <c r="CB29" i="55"/>
  <c r="CB40" i="55" s="1"/>
  <c r="CA29" i="55"/>
  <c r="CA40" i="55" s="1"/>
  <c r="BZ29" i="55"/>
  <c r="BZ40" i="55" s="1"/>
  <c r="CD28" i="55"/>
  <c r="CD39" i="55" s="1"/>
  <c r="CC28" i="55"/>
  <c r="CC39" i="55" s="1"/>
  <c r="CB28" i="55"/>
  <c r="CA28" i="55"/>
  <c r="CA39" i="55" s="1"/>
  <c r="BZ28" i="55"/>
  <c r="BZ39" i="55" s="1"/>
  <c r="CD27" i="55"/>
  <c r="CD38" i="55" s="1"/>
  <c r="CC27" i="55"/>
  <c r="CC38" i="55" s="1"/>
  <c r="CB27" i="55"/>
  <c r="CB38" i="55" s="1"/>
  <c r="CA27" i="55"/>
  <c r="CA38" i="55" s="1"/>
  <c r="BZ27" i="55"/>
  <c r="CE27" i="55" s="1"/>
  <c r="CD26" i="55"/>
  <c r="CD37" i="55" s="1"/>
  <c r="CC26" i="55"/>
  <c r="CC33" i="55" s="1"/>
  <c r="CB26" i="55"/>
  <c r="CA26" i="55"/>
  <c r="BZ26" i="55"/>
  <c r="BV32" i="55"/>
  <c r="BV43" i="55" s="1"/>
  <c r="BU32" i="55"/>
  <c r="BU43" i="55" s="1"/>
  <c r="BT32" i="55"/>
  <c r="BT43" i="55" s="1"/>
  <c r="BS32" i="55"/>
  <c r="BS43" i="55" s="1"/>
  <c r="BR32" i="55"/>
  <c r="BR43" i="55" s="1"/>
  <c r="BW43" i="55" s="1"/>
  <c r="BV31" i="55"/>
  <c r="BV42" i="55" s="1"/>
  <c r="BU31" i="55"/>
  <c r="BU42" i="55" s="1"/>
  <c r="BT31" i="55"/>
  <c r="BT42" i="55" s="1"/>
  <c r="BS31" i="55"/>
  <c r="BS42" i="55" s="1"/>
  <c r="BR31" i="55"/>
  <c r="BW31" i="55" s="1"/>
  <c r="BV30" i="55"/>
  <c r="BV41" i="55" s="1"/>
  <c r="BU30" i="55"/>
  <c r="BU41" i="55" s="1"/>
  <c r="BT30" i="55"/>
  <c r="BT41" i="55" s="1"/>
  <c r="BS30" i="55"/>
  <c r="BS41" i="55" s="1"/>
  <c r="BR30" i="55"/>
  <c r="BV29" i="55"/>
  <c r="BV40" i="55" s="1"/>
  <c r="BU29" i="55"/>
  <c r="BU40" i="55" s="1"/>
  <c r="BT29" i="55"/>
  <c r="BT40" i="55" s="1"/>
  <c r="BS29" i="55"/>
  <c r="BS40" i="55" s="1"/>
  <c r="BR29" i="55"/>
  <c r="BR40" i="55" s="1"/>
  <c r="BV28" i="55"/>
  <c r="BV39" i="55" s="1"/>
  <c r="BU28" i="55"/>
  <c r="BU39" i="55" s="1"/>
  <c r="BT28" i="55"/>
  <c r="BT39" i="55" s="1"/>
  <c r="BS28" i="55"/>
  <c r="BS39" i="55" s="1"/>
  <c r="BR28" i="55"/>
  <c r="BR39" i="55" s="1"/>
  <c r="BV27" i="55"/>
  <c r="BV38" i="55" s="1"/>
  <c r="BU27" i="55"/>
  <c r="BU38" i="55" s="1"/>
  <c r="BT27" i="55"/>
  <c r="BT38" i="55" s="1"/>
  <c r="BS27" i="55"/>
  <c r="BS38" i="55" s="1"/>
  <c r="BR27" i="55"/>
  <c r="BV26" i="55"/>
  <c r="BV37" i="55" s="1"/>
  <c r="BU26" i="55"/>
  <c r="BT26" i="55"/>
  <c r="BS26" i="55"/>
  <c r="BR26" i="55"/>
  <c r="BW26" i="55" s="1"/>
  <c r="BN32" i="55"/>
  <c r="BM32" i="55"/>
  <c r="BM43" i="55" s="1"/>
  <c r="BL32" i="55"/>
  <c r="BL43" i="55" s="1"/>
  <c r="BK32" i="55"/>
  <c r="BK43" i="55" s="1"/>
  <c r="BJ32" i="55"/>
  <c r="BJ43" i="55" s="1"/>
  <c r="BN31" i="55"/>
  <c r="BN42" i="55" s="1"/>
  <c r="BM31" i="55"/>
  <c r="BM42" i="55" s="1"/>
  <c r="BL31" i="55"/>
  <c r="BL42" i="55" s="1"/>
  <c r="BK31" i="55"/>
  <c r="BK42" i="55" s="1"/>
  <c r="BJ31" i="55"/>
  <c r="BO31" i="55" s="1"/>
  <c r="BN30" i="55"/>
  <c r="BN41" i="55" s="1"/>
  <c r="BM30" i="55"/>
  <c r="BM41" i="55" s="1"/>
  <c r="BL30" i="55"/>
  <c r="BL41" i="55" s="1"/>
  <c r="BK30" i="55"/>
  <c r="BK41" i="55" s="1"/>
  <c r="BJ30" i="55"/>
  <c r="BO30" i="55" s="1"/>
  <c r="BN29" i="55"/>
  <c r="BN40" i="55" s="1"/>
  <c r="BM29" i="55"/>
  <c r="BM40" i="55" s="1"/>
  <c r="BL29" i="55"/>
  <c r="BL40" i="55" s="1"/>
  <c r="BK29" i="55"/>
  <c r="BK40" i="55" s="1"/>
  <c r="BJ29" i="55"/>
  <c r="BJ40" i="55" s="1"/>
  <c r="BN28" i="55"/>
  <c r="BN39" i="55" s="1"/>
  <c r="BM28" i="55"/>
  <c r="BM39" i="55" s="1"/>
  <c r="BL28" i="55"/>
  <c r="BL39" i="55" s="1"/>
  <c r="BK28" i="55"/>
  <c r="BK39" i="55" s="1"/>
  <c r="BJ28" i="55"/>
  <c r="BJ39" i="55" s="1"/>
  <c r="BN27" i="55"/>
  <c r="BN38" i="55" s="1"/>
  <c r="BM27" i="55"/>
  <c r="BM38" i="55" s="1"/>
  <c r="BL27" i="55"/>
  <c r="BL38" i="55" s="1"/>
  <c r="BK27" i="55"/>
  <c r="BK38" i="55" s="1"/>
  <c r="BJ27" i="55"/>
  <c r="BO27" i="55" s="1"/>
  <c r="BN26" i="55"/>
  <c r="BN37" i="55" s="1"/>
  <c r="BM26" i="55"/>
  <c r="BL26" i="55"/>
  <c r="BL33" i="55" s="1"/>
  <c r="BK26" i="55"/>
  <c r="BK33" i="55" s="1"/>
  <c r="BJ26" i="55"/>
  <c r="BF32" i="55"/>
  <c r="BE32" i="55"/>
  <c r="BE43" i="55" s="1"/>
  <c r="BD32" i="55"/>
  <c r="BD43" i="55" s="1"/>
  <c r="BC32" i="55"/>
  <c r="BC43" i="55" s="1"/>
  <c r="BB32" i="55"/>
  <c r="BB43" i="55" s="1"/>
  <c r="BF31" i="55"/>
  <c r="BF42" i="55" s="1"/>
  <c r="BE31" i="55"/>
  <c r="BE42" i="55" s="1"/>
  <c r="BD31" i="55"/>
  <c r="BD42" i="55" s="1"/>
  <c r="BC31" i="55"/>
  <c r="BC42" i="55" s="1"/>
  <c r="BB31" i="55"/>
  <c r="BF30" i="55"/>
  <c r="BF41" i="55" s="1"/>
  <c r="BE30" i="55"/>
  <c r="BE41" i="55" s="1"/>
  <c r="BD30" i="55"/>
  <c r="BD41" i="55" s="1"/>
  <c r="BC30" i="55"/>
  <c r="BC41" i="55" s="1"/>
  <c r="BB30" i="55"/>
  <c r="BF29" i="55"/>
  <c r="BF40" i="55" s="1"/>
  <c r="BE29" i="55"/>
  <c r="BE40" i="55" s="1"/>
  <c r="BD29" i="55"/>
  <c r="BD40" i="55" s="1"/>
  <c r="BC29" i="55"/>
  <c r="BC40" i="55" s="1"/>
  <c r="BB29" i="55"/>
  <c r="BB40" i="55" s="1"/>
  <c r="BG40" i="55" s="1"/>
  <c r="BF28" i="55"/>
  <c r="BG28" i="55" s="1"/>
  <c r="BE28" i="55"/>
  <c r="BE39" i="55" s="1"/>
  <c r="BD28" i="55"/>
  <c r="BD39" i="55" s="1"/>
  <c r="BC28" i="55"/>
  <c r="BC39" i="55" s="1"/>
  <c r="BB28" i="55"/>
  <c r="BB39" i="55" s="1"/>
  <c r="BF27" i="55"/>
  <c r="BF38" i="55" s="1"/>
  <c r="BE27" i="55"/>
  <c r="BE38" i="55" s="1"/>
  <c r="BD27" i="55"/>
  <c r="BD38" i="55" s="1"/>
  <c r="BC27" i="55"/>
  <c r="BC38" i="55" s="1"/>
  <c r="BB27" i="55"/>
  <c r="BF26" i="55"/>
  <c r="BF37" i="55" s="1"/>
  <c r="BE26" i="55"/>
  <c r="BE33" i="55" s="1"/>
  <c r="BD26" i="55"/>
  <c r="BC26" i="55"/>
  <c r="BB26" i="55"/>
  <c r="BG26" i="55" s="1"/>
  <c r="AX32" i="55"/>
  <c r="AW32" i="55"/>
  <c r="AW43" i="55" s="1"/>
  <c r="AV32" i="55"/>
  <c r="AV43" i="55" s="1"/>
  <c r="AU32" i="55"/>
  <c r="AU43" i="55" s="1"/>
  <c r="AT32" i="55"/>
  <c r="AT43" i="55" s="1"/>
  <c r="AX31" i="55"/>
  <c r="AX42" i="55" s="1"/>
  <c r="AW31" i="55"/>
  <c r="AW42" i="55" s="1"/>
  <c r="AV31" i="55"/>
  <c r="AV42" i="55" s="1"/>
  <c r="AU31" i="55"/>
  <c r="AU42" i="55" s="1"/>
  <c r="AT31" i="55"/>
  <c r="AY31" i="55" s="1"/>
  <c r="AX30" i="55"/>
  <c r="AX41" i="55" s="1"/>
  <c r="AW30" i="55"/>
  <c r="AW41" i="55" s="1"/>
  <c r="AV30" i="55"/>
  <c r="AV41" i="55" s="1"/>
  <c r="AU30" i="55"/>
  <c r="AU41" i="55" s="1"/>
  <c r="AT30" i="55"/>
  <c r="AY30" i="55" s="1"/>
  <c r="AX29" i="55"/>
  <c r="AX40" i="55" s="1"/>
  <c r="AW29" i="55"/>
  <c r="AW40" i="55" s="1"/>
  <c r="AV29" i="55"/>
  <c r="AV40" i="55" s="1"/>
  <c r="AU29" i="55"/>
  <c r="AU40" i="55" s="1"/>
  <c r="AT29" i="55"/>
  <c r="AX28" i="55"/>
  <c r="AW28" i="55"/>
  <c r="AW39" i="55" s="1"/>
  <c r="AV28" i="55"/>
  <c r="AV39" i="55" s="1"/>
  <c r="AU28" i="55"/>
  <c r="AU39" i="55" s="1"/>
  <c r="AT28" i="55"/>
  <c r="AT39" i="55" s="1"/>
  <c r="AX27" i="55"/>
  <c r="AX38" i="55" s="1"/>
  <c r="AW27" i="55"/>
  <c r="AW38" i="55" s="1"/>
  <c r="AV27" i="55"/>
  <c r="AV38" i="55" s="1"/>
  <c r="AU27" i="55"/>
  <c r="AU38" i="55" s="1"/>
  <c r="AT27" i="55"/>
  <c r="AX26" i="55"/>
  <c r="AX37" i="55" s="1"/>
  <c r="AW26" i="55"/>
  <c r="AV26" i="55"/>
  <c r="AU26" i="55"/>
  <c r="AU33" i="55" s="1"/>
  <c r="AT26" i="55"/>
  <c r="AP32" i="55"/>
  <c r="AP43" i="55" s="1"/>
  <c r="AO32" i="55"/>
  <c r="AO43" i="55" s="1"/>
  <c r="AN32" i="55"/>
  <c r="AN43" i="55" s="1"/>
  <c r="AM32" i="55"/>
  <c r="AM43" i="55" s="1"/>
  <c r="AL32" i="55"/>
  <c r="AL43" i="55" s="1"/>
  <c r="AP31" i="55"/>
  <c r="AP42" i="55" s="1"/>
  <c r="AO31" i="55"/>
  <c r="AO42" i="55" s="1"/>
  <c r="AN31" i="55"/>
  <c r="AN42" i="55" s="1"/>
  <c r="AM31" i="55"/>
  <c r="AM42" i="55" s="1"/>
  <c r="AL31" i="55"/>
  <c r="AP30" i="55"/>
  <c r="AP41" i="55" s="1"/>
  <c r="AO30" i="55"/>
  <c r="AO41" i="55" s="1"/>
  <c r="AN30" i="55"/>
  <c r="AN41" i="55" s="1"/>
  <c r="AM30" i="55"/>
  <c r="AM41" i="55" s="1"/>
  <c r="AL30" i="55"/>
  <c r="AQ30" i="55" s="1"/>
  <c r="AP29" i="55"/>
  <c r="AP40" i="55" s="1"/>
  <c r="AO29" i="55"/>
  <c r="AO40" i="55" s="1"/>
  <c r="AN29" i="55"/>
  <c r="AN40" i="55" s="1"/>
  <c r="AM29" i="55"/>
  <c r="AM40" i="55" s="1"/>
  <c r="AL29" i="55"/>
  <c r="AL40" i="55" s="1"/>
  <c r="AP28" i="55"/>
  <c r="AP39" i="55" s="1"/>
  <c r="AO28" i="55"/>
  <c r="AO39" i="55" s="1"/>
  <c r="AN28" i="55"/>
  <c r="AN39" i="55" s="1"/>
  <c r="AM28" i="55"/>
  <c r="AM39" i="55" s="1"/>
  <c r="AL28" i="55"/>
  <c r="AL39" i="55" s="1"/>
  <c r="AP27" i="55"/>
  <c r="AP38" i="55" s="1"/>
  <c r="AO27" i="55"/>
  <c r="AO38" i="55" s="1"/>
  <c r="AN27" i="55"/>
  <c r="AN38" i="55" s="1"/>
  <c r="AM27" i="55"/>
  <c r="AM38" i="55" s="1"/>
  <c r="AL27" i="55"/>
  <c r="AQ27" i="55" s="1"/>
  <c r="AP26" i="55"/>
  <c r="AP37" i="55" s="1"/>
  <c r="AO26" i="55"/>
  <c r="AN26" i="55"/>
  <c r="AM26" i="55"/>
  <c r="AL26" i="55"/>
  <c r="AH32" i="55"/>
  <c r="AH43" i="55" s="1"/>
  <c r="AG32" i="55"/>
  <c r="AG43" i="55" s="1"/>
  <c r="AF32" i="55"/>
  <c r="AF43" i="55" s="1"/>
  <c r="AE32" i="55"/>
  <c r="AE43" i="55" s="1"/>
  <c r="AD32" i="55"/>
  <c r="AD43" i="55" s="1"/>
  <c r="AH31" i="55"/>
  <c r="AH42" i="55" s="1"/>
  <c r="AG31" i="55"/>
  <c r="AG42" i="55" s="1"/>
  <c r="AF31" i="55"/>
  <c r="AF42" i="55" s="1"/>
  <c r="AE31" i="55"/>
  <c r="AE42" i="55" s="1"/>
  <c r="AD31" i="55"/>
  <c r="AI31" i="55" s="1"/>
  <c r="AH30" i="55"/>
  <c r="AH41" i="55" s="1"/>
  <c r="AG30" i="55"/>
  <c r="AG41" i="55" s="1"/>
  <c r="AF30" i="55"/>
  <c r="AF41" i="55" s="1"/>
  <c r="AE30" i="55"/>
  <c r="AE41" i="55" s="1"/>
  <c r="AD30" i="55"/>
  <c r="AD41" i="55" s="1"/>
  <c r="AH29" i="55"/>
  <c r="AH40" i="55" s="1"/>
  <c r="AG29" i="55"/>
  <c r="AG40" i="55" s="1"/>
  <c r="AF29" i="55"/>
  <c r="AF40" i="55" s="1"/>
  <c r="AE29" i="55"/>
  <c r="AE40" i="55" s="1"/>
  <c r="AD29" i="55"/>
  <c r="AD40" i="55" s="1"/>
  <c r="AH28" i="55"/>
  <c r="AH39" i="55" s="1"/>
  <c r="AG28" i="55"/>
  <c r="AG39" i="55" s="1"/>
  <c r="AF28" i="55"/>
  <c r="AF39" i="55" s="1"/>
  <c r="AE28" i="55"/>
  <c r="AE39" i="55" s="1"/>
  <c r="AD28" i="55"/>
  <c r="AD39" i="55" s="1"/>
  <c r="AH27" i="55"/>
  <c r="AH38" i="55" s="1"/>
  <c r="AG27" i="55"/>
  <c r="AG38" i="55" s="1"/>
  <c r="AF27" i="55"/>
  <c r="AF38" i="55" s="1"/>
  <c r="AE27" i="55"/>
  <c r="AE38" i="55" s="1"/>
  <c r="AD27" i="55"/>
  <c r="AH26" i="55"/>
  <c r="AH37" i="55" s="1"/>
  <c r="AG26" i="55"/>
  <c r="AG37" i="55" s="1"/>
  <c r="AF26" i="55"/>
  <c r="AE26" i="55"/>
  <c r="AD26" i="55"/>
  <c r="AD37" i="55" s="1"/>
  <c r="Y31" i="55"/>
  <c r="Y42" i="55" s="1"/>
  <c r="Z29" i="55"/>
  <c r="Z32" i="55"/>
  <c r="Z43" i="55" s="1"/>
  <c r="Y32" i="55"/>
  <c r="Y43" i="55" s="1"/>
  <c r="X32" i="55"/>
  <c r="X43" i="55" s="1"/>
  <c r="W32" i="55"/>
  <c r="W43" i="55" s="1"/>
  <c r="V32" i="55"/>
  <c r="V43" i="55" s="1"/>
  <c r="AA43" i="55" s="1"/>
  <c r="Z31" i="55"/>
  <c r="Z42" i="55" s="1"/>
  <c r="X31" i="55"/>
  <c r="X42" i="55" s="1"/>
  <c r="W31" i="55"/>
  <c r="W42" i="55" s="1"/>
  <c r="V31" i="55"/>
  <c r="Z30" i="55"/>
  <c r="Z41" i="55" s="1"/>
  <c r="Y30" i="55"/>
  <c r="Y41" i="55" s="1"/>
  <c r="X30" i="55"/>
  <c r="X41" i="55" s="1"/>
  <c r="W30" i="55"/>
  <c r="W41" i="55" s="1"/>
  <c r="V30" i="55"/>
  <c r="AA30" i="55" s="1"/>
  <c r="Y29" i="55"/>
  <c r="Y40" i="55" s="1"/>
  <c r="X29" i="55"/>
  <c r="X40" i="55" s="1"/>
  <c r="W29" i="55"/>
  <c r="W40" i="55" s="1"/>
  <c r="V29" i="55"/>
  <c r="V40" i="55" s="1"/>
  <c r="Z28" i="55"/>
  <c r="Z39" i="55" s="1"/>
  <c r="Y28" i="55"/>
  <c r="Y39" i="55" s="1"/>
  <c r="X28" i="55"/>
  <c r="X39" i="55" s="1"/>
  <c r="W28" i="55"/>
  <c r="W39" i="55" s="1"/>
  <c r="V28" i="55"/>
  <c r="V39" i="55" s="1"/>
  <c r="Z27" i="55"/>
  <c r="Z38" i="55" s="1"/>
  <c r="Y27" i="55"/>
  <c r="Y38" i="55" s="1"/>
  <c r="X27" i="55"/>
  <c r="X38" i="55" s="1"/>
  <c r="W27" i="55"/>
  <c r="W38" i="55" s="1"/>
  <c r="V27" i="55"/>
  <c r="V38" i="55" s="1"/>
  <c r="Z26" i="55"/>
  <c r="Z37" i="55" s="1"/>
  <c r="Y26" i="55"/>
  <c r="X26" i="55"/>
  <c r="W26" i="55"/>
  <c r="V26" i="55"/>
  <c r="H5" i="52" a="1"/>
  <c r="H5" i="52" s="1"/>
  <c r="H6" i="52" a="1"/>
  <c r="H6" i="52" s="1"/>
  <c r="H7" i="52" a="1"/>
  <c r="H7" i="52"/>
  <c r="H8" i="52" a="1"/>
  <c r="H8" i="52"/>
  <c r="H9" i="52" a="1"/>
  <c r="H9" i="52" s="1"/>
  <c r="H10" i="52" a="1"/>
  <c r="H10" i="52" s="1"/>
  <c r="H11" i="52" a="1"/>
  <c r="H11" i="52" s="1"/>
  <c r="H12" i="52" a="1"/>
  <c r="H12" i="52"/>
  <c r="Q38" i="55"/>
  <c r="R38" i="55"/>
  <c r="Q41" i="55"/>
  <c r="R41" i="55"/>
  <c r="N32" i="55"/>
  <c r="N31" i="55"/>
  <c r="N30" i="55"/>
  <c r="N29" i="55"/>
  <c r="N28" i="55"/>
  <c r="N27" i="55"/>
  <c r="N26" i="55"/>
  <c r="R31" i="55"/>
  <c r="R42" i="55" s="1"/>
  <c r="R27" i="55"/>
  <c r="P26" i="55"/>
  <c r="P37" i="55" s="1"/>
  <c r="Q26" i="55"/>
  <c r="Q37" i="55" s="1"/>
  <c r="R26" i="55"/>
  <c r="R37" i="55" s="1"/>
  <c r="P27" i="55"/>
  <c r="P38" i="55" s="1"/>
  <c r="Q27" i="55"/>
  <c r="P28" i="55"/>
  <c r="P39" i="55" s="1"/>
  <c r="Q28" i="55"/>
  <c r="Q39" i="55" s="1"/>
  <c r="R28" i="55"/>
  <c r="R39" i="55" s="1"/>
  <c r="P29" i="55"/>
  <c r="P40" i="55" s="1"/>
  <c r="Q29" i="55"/>
  <c r="Q40" i="55" s="1"/>
  <c r="R29" i="55"/>
  <c r="R40" i="55" s="1"/>
  <c r="P30" i="55"/>
  <c r="P41" i="55" s="1"/>
  <c r="Q30" i="55"/>
  <c r="R30" i="55"/>
  <c r="P31" i="55"/>
  <c r="P42" i="55" s="1"/>
  <c r="Q31" i="55"/>
  <c r="Q42" i="55" s="1"/>
  <c r="P32" i="55"/>
  <c r="P43" i="55" s="1"/>
  <c r="Q32" i="55"/>
  <c r="Q43" i="55" s="1"/>
  <c r="R32" i="55"/>
  <c r="R43" i="55" s="1"/>
  <c r="O32" i="55"/>
  <c r="O31" i="55"/>
  <c r="O30" i="55"/>
  <c r="O29" i="55"/>
  <c r="O28" i="55"/>
  <c r="O27" i="55"/>
  <c r="O26" i="55"/>
  <c r="BQ2" i="55"/>
  <c r="AS2" i="55"/>
  <c r="AK2" i="55"/>
  <c r="AC2" i="55"/>
  <c r="U2" i="55"/>
  <c r="M2" i="55"/>
  <c r="BY2" i="55"/>
  <c r="BA2" i="55"/>
  <c r="CE28" i="55" l="1"/>
  <c r="CE26" i="55"/>
  <c r="CA33" i="55"/>
  <c r="CE31" i="55"/>
  <c r="CB33" i="55"/>
  <c r="BS33" i="55"/>
  <c r="BT33" i="55"/>
  <c r="BU33" i="55"/>
  <c r="BW30" i="55"/>
  <c r="BW27" i="55"/>
  <c r="BM33" i="55"/>
  <c r="BO32" i="55"/>
  <c r="BO29" i="55"/>
  <c r="BO26" i="55"/>
  <c r="BC33" i="55"/>
  <c r="BD33" i="55"/>
  <c r="BG31" i="55"/>
  <c r="BG32" i="55"/>
  <c r="BG29" i="55"/>
  <c r="BG27" i="55"/>
  <c r="BG30" i="55"/>
  <c r="AY32" i="55"/>
  <c r="AW33" i="55"/>
  <c r="AY27" i="55"/>
  <c r="AV33" i="55"/>
  <c r="AY28" i="55"/>
  <c r="AY29" i="55"/>
  <c r="AY26" i="55"/>
  <c r="AQ43" i="55"/>
  <c r="AQ26" i="55"/>
  <c r="AM33" i="55"/>
  <c r="AQ31" i="55"/>
  <c r="AN33" i="55"/>
  <c r="AO33" i="55"/>
  <c r="AE33" i="55"/>
  <c r="AF33" i="55"/>
  <c r="AI27" i="55"/>
  <c r="AA26" i="55"/>
  <c r="W33" i="55"/>
  <c r="X33" i="55"/>
  <c r="Z33" i="55"/>
  <c r="BO40" i="55"/>
  <c r="I40" i="55" s="1"/>
  <c r="I22" i="54" s="1"/>
  <c r="AI40" i="55"/>
  <c r="AI43" i="55"/>
  <c r="CC44" i="55"/>
  <c r="CC48" i="55"/>
  <c r="CE40" i="55"/>
  <c r="CA44" i="55"/>
  <c r="CA48" i="55"/>
  <c r="CB44" i="55"/>
  <c r="CB48" i="55"/>
  <c r="CD33" i="55"/>
  <c r="BZ38" i="55"/>
  <c r="CE38" i="55" s="1"/>
  <c r="CB39" i="55"/>
  <c r="CE39" i="55" s="1"/>
  <c r="K39" i="55" s="1"/>
  <c r="K21" i="54" s="1"/>
  <c r="BZ42" i="55"/>
  <c r="CE42" i="55" s="1"/>
  <c r="K42" i="55" s="1"/>
  <c r="K24" i="54" s="1"/>
  <c r="CB43" i="55"/>
  <c r="CE43" i="55" s="1"/>
  <c r="K43" i="55" s="1"/>
  <c r="K25" i="54" s="1"/>
  <c r="CE29" i="55"/>
  <c r="CA37" i="55"/>
  <c r="BZ37" i="55"/>
  <c r="BZ33" i="55"/>
  <c r="CB37" i="55"/>
  <c r="CC37" i="55"/>
  <c r="BZ41" i="55"/>
  <c r="CE41" i="55" s="1"/>
  <c r="K41" i="55" s="1"/>
  <c r="K23" i="54" s="1"/>
  <c r="BU44" i="55"/>
  <c r="BU48" i="55"/>
  <c r="BW40" i="55"/>
  <c r="BS44" i="55"/>
  <c r="BS48" i="55"/>
  <c r="BT44" i="55"/>
  <c r="BT48" i="55"/>
  <c r="BW39" i="55"/>
  <c r="J39" i="55" s="1"/>
  <c r="J21" i="54" s="1"/>
  <c r="BV33" i="55"/>
  <c r="BR38" i="55"/>
  <c r="BW38" i="55" s="1"/>
  <c r="J38" i="55" s="1"/>
  <c r="J20" i="54" s="1"/>
  <c r="BR42" i="55"/>
  <c r="BW42" i="55" s="1"/>
  <c r="BW29" i="55"/>
  <c r="BR37" i="55"/>
  <c r="BW28" i="55"/>
  <c r="J28" i="55" s="1"/>
  <c r="J7" i="54" s="1"/>
  <c r="BW32" i="55"/>
  <c r="BS37" i="55"/>
  <c r="BR33" i="55"/>
  <c r="BT37" i="55"/>
  <c r="BU37" i="55"/>
  <c r="BR41" i="55"/>
  <c r="BW41" i="55" s="1"/>
  <c r="BK44" i="55"/>
  <c r="BK48" i="55"/>
  <c r="BO39" i="55"/>
  <c r="BL44" i="55"/>
  <c r="BL48" i="55"/>
  <c r="BM44" i="55"/>
  <c r="BM48" i="55"/>
  <c r="BN33" i="55"/>
  <c r="BJ38" i="55"/>
  <c r="BO38" i="55" s="1"/>
  <c r="BJ42" i="55"/>
  <c r="BO42" i="55" s="1"/>
  <c r="BJ37" i="55"/>
  <c r="BO28" i="55"/>
  <c r="I28" i="55" s="1"/>
  <c r="I7" i="54" s="1"/>
  <c r="BK37" i="55"/>
  <c r="BJ33" i="55"/>
  <c r="BL37" i="55"/>
  <c r="BM37" i="55"/>
  <c r="BN43" i="55"/>
  <c r="BO43" i="55" s="1"/>
  <c r="I43" i="55" s="1"/>
  <c r="I25" i="54" s="1"/>
  <c r="BJ41" i="55"/>
  <c r="BO41" i="55" s="1"/>
  <c r="BC44" i="55"/>
  <c r="BC48" i="55"/>
  <c r="BD44" i="55"/>
  <c r="BD48" i="55"/>
  <c r="BE44" i="55"/>
  <c r="BE48" i="55"/>
  <c r="BB37" i="55"/>
  <c r="BB41" i="55"/>
  <c r="BG41" i="55" s="1"/>
  <c r="BF33" i="55"/>
  <c r="BB38" i="55"/>
  <c r="BG38" i="55" s="1"/>
  <c r="BB42" i="55"/>
  <c r="BG42" i="55" s="1"/>
  <c r="BC37" i="55"/>
  <c r="BB33" i="55"/>
  <c r="BD37" i="55"/>
  <c r="BE37" i="55"/>
  <c r="BF43" i="55"/>
  <c r="BG43" i="55" s="1"/>
  <c r="H43" i="55" s="1"/>
  <c r="H25" i="54" s="1"/>
  <c r="BF39" i="55"/>
  <c r="BG39" i="55" s="1"/>
  <c r="H39" i="55" s="1"/>
  <c r="H21" i="54" s="1"/>
  <c r="AW44" i="55"/>
  <c r="AW48" i="55"/>
  <c r="AY43" i="55"/>
  <c r="G43" i="55" s="1"/>
  <c r="G25" i="54" s="1"/>
  <c r="AU48" i="55"/>
  <c r="AU44" i="55"/>
  <c r="AV44" i="55"/>
  <c r="AV48" i="55"/>
  <c r="AT37" i="55"/>
  <c r="AX43" i="55"/>
  <c r="AU37" i="55"/>
  <c r="AV37" i="55"/>
  <c r="AT40" i="55"/>
  <c r="AY40" i="55" s="1"/>
  <c r="G40" i="55" s="1"/>
  <c r="G22" i="54" s="1"/>
  <c r="AX33" i="55"/>
  <c r="AT38" i="55"/>
  <c r="AY38" i="55" s="1"/>
  <c r="G38" i="55" s="1"/>
  <c r="G20" i="54" s="1"/>
  <c r="AT42" i="55"/>
  <c r="AY42" i="55" s="1"/>
  <c r="G42" i="55" s="1"/>
  <c r="G24" i="54" s="1"/>
  <c r="AX39" i="55"/>
  <c r="AY39" i="55" s="1"/>
  <c r="G39" i="55" s="1"/>
  <c r="G21" i="54" s="1"/>
  <c r="AT41" i="55"/>
  <c r="AY41" i="55" s="1"/>
  <c r="G41" i="55" s="1"/>
  <c r="G23" i="54" s="1"/>
  <c r="AT33" i="55"/>
  <c r="AW37" i="55"/>
  <c r="AO44" i="55"/>
  <c r="AO48" i="55"/>
  <c r="AQ40" i="55"/>
  <c r="AM44" i="55"/>
  <c r="AM48" i="55"/>
  <c r="AN44" i="55"/>
  <c r="AN48" i="55"/>
  <c r="AQ39" i="55"/>
  <c r="F39" i="55" s="1"/>
  <c r="F21" i="54" s="1"/>
  <c r="AP33" i="55"/>
  <c r="AL38" i="55"/>
  <c r="AQ38" i="55" s="1"/>
  <c r="F38" i="55" s="1"/>
  <c r="F20" i="54" s="1"/>
  <c r="AL42" i="55"/>
  <c r="AQ42" i="55" s="1"/>
  <c r="AQ29" i="55"/>
  <c r="AQ28" i="55"/>
  <c r="AQ32" i="55"/>
  <c r="AM37" i="55"/>
  <c r="AL37" i="55"/>
  <c r="AL33" i="55"/>
  <c r="AN37" i="55"/>
  <c r="AO37" i="55"/>
  <c r="AL41" i="55"/>
  <c r="AQ41" i="55" s="1"/>
  <c r="AI41" i="55"/>
  <c r="E41" i="55" s="1"/>
  <c r="E23" i="54" s="1"/>
  <c r="AE44" i="55"/>
  <c r="AE48" i="55"/>
  <c r="AF44" i="55"/>
  <c r="AF48" i="55"/>
  <c r="AI39" i="55"/>
  <c r="AH33" i="55"/>
  <c r="AD38" i="55"/>
  <c r="AI38" i="55" s="1"/>
  <c r="E38" i="55" s="1"/>
  <c r="E20" i="54" s="1"/>
  <c r="AD42" i="55"/>
  <c r="AI42" i="55" s="1"/>
  <c r="E42" i="55" s="1"/>
  <c r="E24" i="54" s="1"/>
  <c r="AI26" i="55"/>
  <c r="AI30" i="55"/>
  <c r="E30" i="55" s="1"/>
  <c r="E9" i="54" s="1"/>
  <c r="AG33" i="55"/>
  <c r="AI29" i="55"/>
  <c r="E29" i="55" s="1"/>
  <c r="E8" i="54" s="1"/>
  <c r="AI28" i="55"/>
  <c r="AI32" i="55"/>
  <c r="AE37" i="55"/>
  <c r="AI37" i="55" s="1"/>
  <c r="AD33" i="55"/>
  <c r="AF37" i="55"/>
  <c r="AA31" i="55"/>
  <c r="Y33" i="55"/>
  <c r="Y44" i="55"/>
  <c r="Y48" i="55"/>
  <c r="Z48" i="55"/>
  <c r="Z44" i="55"/>
  <c r="AA38" i="55"/>
  <c r="W44" i="55"/>
  <c r="W48" i="55"/>
  <c r="X44" i="55"/>
  <c r="X48" i="55"/>
  <c r="AA39" i="55"/>
  <c r="D39" i="55" s="1"/>
  <c r="D21" i="54" s="1"/>
  <c r="AA29" i="55"/>
  <c r="D29" i="55" s="1"/>
  <c r="D8" i="54" s="1"/>
  <c r="V37" i="55"/>
  <c r="V41" i="55"/>
  <c r="AA41" i="55" s="1"/>
  <c r="D41" i="55" s="1"/>
  <c r="D23" i="54" s="1"/>
  <c r="V42" i="55"/>
  <c r="AA42" i="55" s="1"/>
  <c r="D42" i="55" s="1"/>
  <c r="D24" i="54" s="1"/>
  <c r="AA28" i="55"/>
  <c r="D28" i="55" s="1"/>
  <c r="D7" i="54" s="1"/>
  <c r="AA32" i="55"/>
  <c r="W37" i="55"/>
  <c r="V33" i="55"/>
  <c r="X37" i="55"/>
  <c r="Z40" i="55"/>
  <c r="AA40" i="55" s="1"/>
  <c r="D40" i="55" s="1"/>
  <c r="D22" i="54" s="1"/>
  <c r="AA27" i="55"/>
  <c r="Y37" i="55"/>
  <c r="D26" i="55"/>
  <c r="D5" i="54" s="1"/>
  <c r="S27" i="55"/>
  <c r="S31" i="55"/>
  <c r="S30" i="55"/>
  <c r="S29" i="55"/>
  <c r="S28" i="55"/>
  <c r="C28" i="55" s="1"/>
  <c r="C7" i="54" s="1"/>
  <c r="S26" i="55"/>
  <c r="C26" i="55" s="1"/>
  <c r="C5" i="54" s="1"/>
  <c r="S32" i="55"/>
  <c r="C32" i="55" s="1"/>
  <c r="C11" i="54" s="1"/>
  <c r="N33" i="55"/>
  <c r="G29" i="55"/>
  <c r="G8" i="54" s="1"/>
  <c r="I38" i="55"/>
  <c r="I20" i="54" s="1"/>
  <c r="E39" i="55"/>
  <c r="E21" i="54" s="1"/>
  <c r="G26" i="55"/>
  <c r="G5" i="54" s="1"/>
  <c r="H26" i="55"/>
  <c r="H5" i="54" s="1"/>
  <c r="K26" i="55"/>
  <c r="K5" i="54" s="1"/>
  <c r="I39" i="55"/>
  <c r="I21" i="54" s="1"/>
  <c r="H41" i="55"/>
  <c r="H23" i="54" s="1"/>
  <c r="F31" i="55"/>
  <c r="F10" i="54" s="1"/>
  <c r="D43" i="55"/>
  <c r="D25" i="54" s="1"/>
  <c r="H27" i="55"/>
  <c r="H6" i="54" s="1"/>
  <c r="H40" i="55"/>
  <c r="H22" i="54" s="1"/>
  <c r="C29" i="55"/>
  <c r="C8" i="54" s="1"/>
  <c r="D27" i="55"/>
  <c r="D6" i="54" s="1"/>
  <c r="I41" i="55"/>
  <c r="I23" i="54" s="1"/>
  <c r="J31" i="55"/>
  <c r="J10" i="54" s="1"/>
  <c r="K29" i="55"/>
  <c r="K8" i="54" s="1"/>
  <c r="P33" i="55"/>
  <c r="K32" i="55"/>
  <c r="K11" i="54" s="1"/>
  <c r="G28" i="55"/>
  <c r="G7" i="54" s="1"/>
  <c r="K28" i="55"/>
  <c r="K7" i="54" s="1"/>
  <c r="F30" i="55"/>
  <c r="F9" i="54" s="1"/>
  <c r="J30" i="55"/>
  <c r="J9" i="54" s="1"/>
  <c r="E32" i="55"/>
  <c r="E11" i="54" s="1"/>
  <c r="I32" i="55"/>
  <c r="I11" i="54" s="1"/>
  <c r="C27" i="55"/>
  <c r="C6" i="54" s="1"/>
  <c r="G27" i="55"/>
  <c r="G6" i="54" s="1"/>
  <c r="K27" i="55"/>
  <c r="K6" i="54" s="1"/>
  <c r="F29" i="55"/>
  <c r="F8" i="54" s="1"/>
  <c r="J29" i="55"/>
  <c r="J8" i="54" s="1"/>
  <c r="E31" i="55"/>
  <c r="E10" i="54" s="1"/>
  <c r="I31" i="55"/>
  <c r="I10" i="54" s="1"/>
  <c r="F43" i="55"/>
  <c r="F25" i="54" s="1"/>
  <c r="J43" i="55"/>
  <c r="J25" i="54" s="1"/>
  <c r="O33" i="55"/>
  <c r="O48" i="55" s="1"/>
  <c r="D38" i="55"/>
  <c r="D20" i="54" s="1"/>
  <c r="H38" i="55"/>
  <c r="H20" i="54" s="1"/>
  <c r="F28" i="55"/>
  <c r="F7" i="54" s="1"/>
  <c r="K40" i="55"/>
  <c r="K22" i="54" s="1"/>
  <c r="I30" i="55"/>
  <c r="I9" i="54" s="1"/>
  <c r="F42" i="55"/>
  <c r="F24" i="54" s="1"/>
  <c r="J42" i="55"/>
  <c r="J24" i="54" s="1"/>
  <c r="D32" i="55"/>
  <c r="D11" i="54" s="1"/>
  <c r="H32" i="55"/>
  <c r="H11" i="54" s="1"/>
  <c r="Q33" i="55"/>
  <c r="J27" i="55"/>
  <c r="J6" i="54" s="1"/>
  <c r="I29" i="55"/>
  <c r="I8" i="54" s="1"/>
  <c r="F41" i="55"/>
  <c r="F23" i="54" s="1"/>
  <c r="J41" i="55"/>
  <c r="J23" i="54" s="1"/>
  <c r="D31" i="55"/>
  <c r="D10" i="54" s="1"/>
  <c r="H31" i="55"/>
  <c r="H10" i="54" s="1"/>
  <c r="E43" i="55"/>
  <c r="E25" i="54" s="1"/>
  <c r="F27" i="55"/>
  <c r="F6" i="54" s="1"/>
  <c r="E28" i="55"/>
  <c r="E7" i="54" s="1"/>
  <c r="F40" i="55"/>
  <c r="F22" i="54" s="1"/>
  <c r="J40" i="55"/>
  <c r="J22" i="54" s="1"/>
  <c r="D30" i="55"/>
  <c r="D9" i="54" s="1"/>
  <c r="H30" i="55"/>
  <c r="H9" i="54" s="1"/>
  <c r="I42" i="55"/>
  <c r="I24" i="54" s="1"/>
  <c r="G32" i="55"/>
  <c r="G11" i="54" s="1"/>
  <c r="R33" i="55"/>
  <c r="F26" i="55"/>
  <c r="F5" i="54" s="1"/>
  <c r="J26" i="55"/>
  <c r="J5" i="54" s="1"/>
  <c r="K38" i="55"/>
  <c r="K20" i="54" s="1"/>
  <c r="E27" i="55"/>
  <c r="E6" i="54" s="1"/>
  <c r="I27" i="55"/>
  <c r="I6" i="54" s="1"/>
  <c r="H29" i="55"/>
  <c r="H8" i="54" s="1"/>
  <c r="C31" i="55"/>
  <c r="C10" i="54" s="1"/>
  <c r="G31" i="55"/>
  <c r="G10" i="54" s="1"/>
  <c r="K31" i="55"/>
  <c r="K10" i="54" s="1"/>
  <c r="E26" i="55"/>
  <c r="E5" i="54" s="1"/>
  <c r="I26" i="55"/>
  <c r="I5" i="54" s="1"/>
  <c r="H28" i="55"/>
  <c r="H7" i="54" s="1"/>
  <c r="E40" i="55"/>
  <c r="E22" i="54" s="1"/>
  <c r="C30" i="55"/>
  <c r="C9" i="54" s="1"/>
  <c r="G30" i="55"/>
  <c r="G9" i="54" s="1"/>
  <c r="K30" i="55"/>
  <c r="K9" i="54" s="1"/>
  <c r="H42" i="55"/>
  <c r="H24" i="54" s="1"/>
  <c r="F32" i="55"/>
  <c r="F11" i="54" s="1"/>
  <c r="J32" i="55"/>
  <c r="J11" i="54" s="1"/>
  <c r="AQ37" i="55" l="1"/>
  <c r="BZ48" i="55"/>
  <c r="BZ44" i="55"/>
  <c r="CE33" i="55"/>
  <c r="CD48" i="55"/>
  <c r="CD44" i="55"/>
  <c r="CE37" i="55"/>
  <c r="K37" i="55" s="1"/>
  <c r="K19" i="54" s="1"/>
  <c r="BW37" i="55"/>
  <c r="J37" i="55" s="1"/>
  <c r="J19" i="54" s="1"/>
  <c r="BR44" i="55"/>
  <c r="BR48" i="55"/>
  <c r="BW33" i="55"/>
  <c r="BV48" i="55"/>
  <c r="BV44" i="55"/>
  <c r="BJ44" i="55"/>
  <c r="BJ48" i="55"/>
  <c r="BO33" i="55"/>
  <c r="I33" i="55" s="1"/>
  <c r="F10" i="52" s="1" a="1"/>
  <c r="F10" i="52" s="1"/>
  <c r="BO37" i="55"/>
  <c r="BN48" i="55"/>
  <c r="BN44" i="55"/>
  <c r="BB44" i="55"/>
  <c r="BB48" i="55"/>
  <c r="BG33" i="55"/>
  <c r="H33" i="55" s="1"/>
  <c r="F9" i="52" s="1" a="1"/>
  <c r="F9" i="52" s="1"/>
  <c r="BF48" i="55"/>
  <c r="BF44" i="55"/>
  <c r="BG37" i="55"/>
  <c r="H37" i="55" s="1"/>
  <c r="H19" i="54" s="1"/>
  <c r="AT48" i="55"/>
  <c r="AT44" i="55"/>
  <c r="AY33" i="55"/>
  <c r="AX48" i="55"/>
  <c r="AX44" i="55"/>
  <c r="AY37" i="55"/>
  <c r="G37" i="55" s="1"/>
  <c r="G19" i="54" s="1"/>
  <c r="AL44" i="55"/>
  <c r="AL48" i="55"/>
  <c r="AQ48" i="55" s="1"/>
  <c r="AQ33" i="55"/>
  <c r="AP48" i="55"/>
  <c r="AP44" i="55"/>
  <c r="AH48" i="55"/>
  <c r="AH44" i="55"/>
  <c r="AD44" i="55"/>
  <c r="AI44" i="55" s="1"/>
  <c r="AD48" i="55"/>
  <c r="AI48" i="55" s="1"/>
  <c r="AI33" i="55"/>
  <c r="AG44" i="55"/>
  <c r="AG48" i="55"/>
  <c r="R44" i="55"/>
  <c r="R48" i="55"/>
  <c r="Q44" i="55"/>
  <c r="Q48" i="55"/>
  <c r="P44" i="55"/>
  <c r="P48" i="55"/>
  <c r="N48" i="55"/>
  <c r="S33" i="55"/>
  <c r="C33" i="55" s="1"/>
  <c r="F4" i="52" s="1" a="1"/>
  <c r="F4" i="52" s="1"/>
  <c r="AA37" i="55"/>
  <c r="D37" i="55" s="1"/>
  <c r="D19" i="54" s="1"/>
  <c r="V44" i="55"/>
  <c r="AA44" i="55" s="1"/>
  <c r="V48" i="55"/>
  <c r="AA48" i="55" s="1"/>
  <c r="AA33" i="55"/>
  <c r="D33" i="55" s="1"/>
  <c r="F5" i="52" s="1" a="1"/>
  <c r="F5" i="52" s="1"/>
  <c r="I37" i="55"/>
  <c r="I19" i="54" s="1"/>
  <c r="E37" i="55"/>
  <c r="E19" i="54" s="1"/>
  <c r="E33" i="55"/>
  <c r="F6" i="52" s="1" a="1"/>
  <c r="F6" i="52" s="1"/>
  <c r="K33" i="55"/>
  <c r="F12" i="52" s="1" a="1"/>
  <c r="F12" i="52" s="1"/>
  <c r="F37" i="55"/>
  <c r="F19" i="54" s="1"/>
  <c r="G33" i="55"/>
  <c r="F8" i="52" s="1" a="1"/>
  <c r="F8" i="52" s="1"/>
  <c r="J33" i="55"/>
  <c r="F11" i="52" s="1" a="1"/>
  <c r="F11" i="52" s="1"/>
  <c r="F33" i="55"/>
  <c r="F7" i="52" s="1" a="1"/>
  <c r="F7" i="52" s="1"/>
  <c r="CE44" i="55" l="1"/>
  <c r="CE48" i="55"/>
  <c r="BW48" i="55"/>
  <c r="J48" i="55" s="1"/>
  <c r="BW44" i="55"/>
  <c r="BO48" i="55"/>
  <c r="I48" i="55" s="1"/>
  <c r="BO44" i="55"/>
  <c r="I44" i="55" s="1"/>
  <c r="D10" i="52" s="1" a="1"/>
  <c r="D10" i="52" s="1"/>
  <c r="BG48" i="55"/>
  <c r="H48" i="55" s="1"/>
  <c r="BG44" i="55"/>
  <c r="H44" i="55" s="1"/>
  <c r="D9" i="52" s="1" a="1"/>
  <c r="D9" i="52" s="1"/>
  <c r="AY44" i="55"/>
  <c r="AY48" i="55"/>
  <c r="AQ44" i="55"/>
  <c r="F44" i="55" s="1"/>
  <c r="D7" i="52" s="1" a="1"/>
  <c r="D7" i="52" s="1"/>
  <c r="F35" i="55"/>
  <c r="G44" i="55"/>
  <c r="D8" i="52" s="1" a="1"/>
  <c r="D8" i="52" s="1"/>
  <c r="E48" i="55"/>
  <c r="F48" i="55"/>
  <c r="J35" i="55"/>
  <c r="G35" i="55"/>
  <c r="E44" i="55"/>
  <c r="D6" i="52" s="1" a="1"/>
  <c r="D6" i="52" s="1"/>
  <c r="D35" i="55"/>
  <c r="I35" i="55"/>
  <c r="J34" i="55"/>
  <c r="I34" i="55"/>
  <c r="H34" i="55"/>
  <c r="G34" i="55"/>
  <c r="F34" i="55"/>
  <c r="D34" i="55"/>
  <c r="K34" i="55"/>
  <c r="E34" i="55"/>
  <c r="J44" i="55"/>
  <c r="D11" i="52" s="1" a="1"/>
  <c r="D11" i="52" s="1"/>
  <c r="K35" i="55"/>
  <c r="D44" i="55"/>
  <c r="D5" i="52" s="1" a="1"/>
  <c r="D5" i="52" s="1"/>
  <c r="S48" i="55"/>
  <c r="C48" i="55" s="1"/>
  <c r="H4" i="52" s="1" a="1"/>
  <c r="H4" i="52" s="1"/>
  <c r="K48" i="55"/>
  <c r="H35" i="55"/>
  <c r="G48" i="55"/>
  <c r="K44" i="55"/>
  <c r="D12" i="52" s="1" a="1"/>
  <c r="D12" i="52" s="1"/>
  <c r="E35" i="55"/>
  <c r="D50" i="55" l="1"/>
  <c r="H50" i="55"/>
  <c r="I50" i="55"/>
  <c r="J50" i="55"/>
  <c r="K50" i="55"/>
  <c r="F50" i="55"/>
  <c r="K49" i="55"/>
  <c r="J49" i="55"/>
  <c r="I49" i="55"/>
  <c r="H49" i="55"/>
  <c r="G49" i="55"/>
  <c r="F49" i="55"/>
  <c r="E49" i="55"/>
  <c r="D49" i="55"/>
  <c r="G50" i="55"/>
  <c r="E50" i="55"/>
  <c r="N27" i="54" l="1"/>
  <c r="M27" i="54"/>
  <c r="L27" i="54"/>
  <c r="N13" i="54"/>
  <c r="M13" i="54"/>
  <c r="L13" i="54"/>
  <c r="K4" i="54"/>
  <c r="J4" i="54"/>
  <c r="I4" i="54"/>
  <c r="H4" i="54"/>
  <c r="G4" i="54"/>
  <c r="F4" i="54"/>
  <c r="E4" i="54"/>
  <c r="D4" i="54"/>
  <c r="C4" i="54"/>
  <c r="G7" i="52"/>
  <c r="E31" i="52"/>
  <c r="D28" i="52"/>
  <c r="D27" i="52"/>
  <c r="D26" i="52"/>
  <c r="D25" i="52"/>
  <c r="D24" i="52"/>
  <c r="C12" i="52" a="1"/>
  <c r="C12" i="52" s="1"/>
  <c r="C11" i="52"/>
  <c r="C11" i="52" a="1"/>
  <c r="C10" i="52" a="1"/>
  <c r="C10" i="52" s="1"/>
  <c r="C9" i="52"/>
  <c r="C9" i="52" a="1"/>
  <c r="C8" i="52"/>
  <c r="C8" i="52" a="1"/>
  <c r="C7" i="52"/>
  <c r="C7" i="52" a="1"/>
  <c r="I6" i="52"/>
  <c r="C6" i="52" a="1"/>
  <c r="C6" i="52" s="1"/>
  <c r="C5" i="52"/>
  <c r="C5" i="52" a="1"/>
  <c r="C4" i="52"/>
  <c r="C4" i="52" a="1"/>
  <c r="O43" i="55" l="1"/>
  <c r="O41" i="55"/>
  <c r="O37" i="55"/>
  <c r="O39" i="55"/>
  <c r="O44" i="55"/>
  <c r="O42" i="55"/>
  <c r="O38" i="55"/>
  <c r="O40" i="55"/>
  <c r="N44" i="55"/>
  <c r="S44" i="55" s="1"/>
  <c r="C44" i="55" s="1"/>
  <c r="N43" i="55"/>
  <c r="S43" i="55" s="1"/>
  <c r="C43" i="55" s="1"/>
  <c r="C25" i="54" s="1"/>
  <c r="N38" i="55"/>
  <c r="N39" i="55"/>
  <c r="S39" i="55" s="1"/>
  <c r="C39" i="55" s="1"/>
  <c r="C21" i="54" s="1"/>
  <c r="N40" i="55"/>
  <c r="N41" i="55"/>
  <c r="S41" i="55" s="1"/>
  <c r="C41" i="55" s="1"/>
  <c r="C23" i="54" s="1"/>
  <c r="N42" i="55"/>
  <c r="S42" i="55" s="1"/>
  <c r="C42" i="55" s="1"/>
  <c r="C24" i="54" s="1"/>
  <c r="N37" i="55"/>
  <c r="S37" i="55" s="1"/>
  <c r="C37" i="55" s="1"/>
  <c r="C19" i="54" s="1"/>
  <c r="G13" i="54"/>
  <c r="H13" i="54"/>
  <c r="I13" i="54"/>
  <c r="F13" i="54"/>
  <c r="J13" i="54"/>
  <c r="I10" i="52"/>
  <c r="C13" i="54"/>
  <c r="K13" i="54"/>
  <c r="D13" i="54"/>
  <c r="E13" i="54"/>
  <c r="G15" i="54" l="1"/>
  <c r="G16" i="54" s="1"/>
  <c r="S40" i="55"/>
  <c r="C40" i="55" s="1"/>
  <c r="C22" i="54" s="1"/>
  <c r="S38" i="55"/>
  <c r="C38" i="55" s="1"/>
  <c r="C20" i="54" s="1"/>
  <c r="D4" i="52" a="1"/>
  <c r="D4" i="52" s="1"/>
  <c r="I46" i="55"/>
  <c r="F45" i="55"/>
  <c r="E45" i="55"/>
  <c r="D46" i="55"/>
  <c r="K45" i="55"/>
  <c r="G46" i="55"/>
  <c r="H45" i="55"/>
  <c r="G45" i="55"/>
  <c r="K46" i="55"/>
  <c r="D45" i="55"/>
  <c r="I45" i="55"/>
  <c r="E46" i="55"/>
  <c r="H46" i="55"/>
  <c r="J45" i="55"/>
  <c r="F46" i="55"/>
  <c r="J46" i="55"/>
  <c r="J15" i="54"/>
  <c r="J16" i="54" s="1"/>
  <c r="L15" i="54"/>
  <c r="L16" i="54" s="1"/>
  <c r="F15" i="54"/>
  <c r="F16" i="54" s="1"/>
  <c r="D15" i="54"/>
  <c r="D16" i="54" s="1"/>
  <c r="K15" i="54"/>
  <c r="K16" i="54" s="1"/>
  <c r="I7" i="52"/>
  <c r="I11" i="52"/>
  <c r="F27" i="54"/>
  <c r="G12" i="52"/>
  <c r="G11" i="52"/>
  <c r="G8" i="52"/>
  <c r="G5" i="52"/>
  <c r="I9" i="52"/>
  <c r="I5" i="52"/>
  <c r="G6" i="52"/>
  <c r="I15" i="54"/>
  <c r="I16" i="54" s="1"/>
  <c r="G10" i="52"/>
  <c r="I8" i="52"/>
  <c r="I12" i="52"/>
  <c r="M15" i="54"/>
  <c r="M16" i="54" s="1"/>
  <c r="L12" i="54"/>
  <c r="D12" i="54"/>
  <c r="K12" i="54"/>
  <c r="J12" i="54"/>
  <c r="H12" i="54"/>
  <c r="I12" i="54"/>
  <c r="G12" i="54"/>
  <c r="N12" i="54"/>
  <c r="F12" i="54"/>
  <c r="N15" i="54"/>
  <c r="N16" i="54" s="1"/>
  <c r="M12" i="54"/>
  <c r="E12" i="54"/>
  <c r="G9" i="52"/>
  <c r="E15" i="54"/>
  <c r="E16" i="54" s="1"/>
  <c r="H15" i="54"/>
  <c r="H16" i="54" s="1"/>
  <c r="H27" i="54" l="1"/>
  <c r="K27" i="54"/>
  <c r="I27" i="54"/>
  <c r="E27" i="54"/>
  <c r="J27" i="54"/>
  <c r="C27" i="54"/>
  <c r="D27" i="54"/>
  <c r="G27" i="54"/>
  <c r="E4" i="15"/>
  <c r="F4" i="15"/>
  <c r="G4" i="15"/>
  <c r="H4" i="15"/>
  <c r="I4" i="15"/>
  <c r="J4" i="15"/>
  <c r="K4" i="15"/>
  <c r="D4" i="15"/>
  <c r="C4" i="15"/>
  <c r="H29" i="54" l="1"/>
  <c r="H30" i="54" s="1"/>
  <c r="D29" i="54"/>
  <c r="D30" i="54" s="1"/>
  <c r="E29" i="54"/>
  <c r="E30" i="54" s="1"/>
  <c r="I29" i="54"/>
  <c r="I30" i="54" s="1"/>
  <c r="E12" i="52"/>
  <c r="K29" i="54"/>
  <c r="K30" i="54" s="1"/>
  <c r="E8" i="52"/>
  <c r="E10" i="52"/>
  <c r="H26" i="54"/>
  <c r="G26" i="54"/>
  <c r="D26" i="54"/>
  <c r="N26" i="54"/>
  <c r="F26" i="54"/>
  <c r="M26" i="54"/>
  <c r="E26" i="54"/>
  <c r="L29" i="54"/>
  <c r="L30" i="54" s="1"/>
  <c r="K26" i="54"/>
  <c r="J26" i="54"/>
  <c r="L26" i="54"/>
  <c r="I26" i="54"/>
  <c r="M29" i="54"/>
  <c r="M30" i="54" s="1"/>
  <c r="N29" i="54"/>
  <c r="N30" i="54" s="1"/>
  <c r="E7" i="52"/>
  <c r="E11" i="52"/>
  <c r="E9" i="52"/>
  <c r="E5" i="52"/>
  <c r="J29" i="54"/>
  <c r="J30" i="54" s="1"/>
  <c r="G29" i="54"/>
  <c r="G30" i="54" s="1"/>
  <c r="E6" i="52"/>
  <c r="F29" i="54"/>
  <c r="F30" i="54" s="1"/>
  <c r="K11" i="15"/>
  <c r="J11" i="15"/>
  <c r="I11" i="15"/>
  <c r="H11" i="15"/>
  <c r="G11" i="15"/>
  <c r="F11" i="15"/>
  <c r="E11" i="15"/>
  <c r="D11" i="15"/>
  <c r="K10" i="15"/>
  <c r="J10" i="15"/>
  <c r="I10" i="15"/>
  <c r="H10" i="15"/>
  <c r="G10" i="15"/>
  <c r="F10" i="15"/>
  <c r="E10" i="15"/>
  <c r="D10" i="15"/>
  <c r="K9" i="15"/>
  <c r="J9" i="15"/>
  <c r="I9" i="15"/>
  <c r="H9" i="15"/>
  <c r="G9" i="15"/>
  <c r="F9" i="15"/>
  <c r="E9" i="15"/>
  <c r="D9" i="15"/>
  <c r="K8" i="15"/>
  <c r="J8" i="15"/>
  <c r="I8" i="15"/>
  <c r="H8" i="15"/>
  <c r="G8" i="15"/>
  <c r="F8" i="15"/>
  <c r="E8" i="15"/>
  <c r="D8" i="15"/>
  <c r="K7" i="15"/>
  <c r="J7" i="15"/>
  <c r="I7" i="15"/>
  <c r="H7" i="15"/>
  <c r="G7" i="15"/>
  <c r="F7" i="15"/>
  <c r="E7" i="15"/>
  <c r="D7" i="15"/>
  <c r="K6" i="15"/>
  <c r="J6" i="15"/>
  <c r="I6" i="15"/>
  <c r="H6" i="15"/>
  <c r="G6" i="15"/>
  <c r="F6" i="15"/>
  <c r="E6" i="15"/>
  <c r="D6" i="15"/>
  <c r="K5" i="15"/>
  <c r="J5" i="15"/>
  <c r="I5" i="15"/>
  <c r="H5" i="15"/>
  <c r="G5" i="15"/>
  <c r="F5" i="15"/>
  <c r="E5" i="15"/>
  <c r="D5" i="15"/>
  <c r="C11" i="15"/>
  <c r="C10" i="15"/>
  <c r="C9" i="15"/>
  <c r="C8" i="15"/>
  <c r="C7" i="15"/>
  <c r="C6" i="15"/>
  <c r="C5" i="15"/>
  <c r="K25" i="15"/>
  <c r="H25" i="15"/>
  <c r="F25" i="15"/>
  <c r="D25" i="15"/>
  <c r="K24" i="15"/>
  <c r="H24" i="15"/>
  <c r="F24" i="15"/>
  <c r="D24" i="15"/>
  <c r="K23" i="15"/>
  <c r="H23" i="15"/>
  <c r="F23" i="15"/>
  <c r="D23" i="15"/>
  <c r="K22" i="15"/>
  <c r="H22" i="15"/>
  <c r="F22" i="15"/>
  <c r="D22" i="15"/>
  <c r="K21" i="15"/>
  <c r="K19" i="15"/>
  <c r="J19" i="15"/>
  <c r="F19" i="15"/>
  <c r="C25" i="15"/>
  <c r="D21" i="15" l="1"/>
  <c r="F21" i="15"/>
  <c r="H20" i="15"/>
  <c r="H21" i="15"/>
  <c r="G19" i="15"/>
  <c r="E22" i="15"/>
  <c r="E21" i="15"/>
  <c r="E23" i="15"/>
  <c r="E24" i="15"/>
  <c r="E25" i="15"/>
  <c r="I19" i="15"/>
  <c r="I20" i="15"/>
  <c r="G22" i="15"/>
  <c r="G21" i="15"/>
  <c r="G23" i="15"/>
  <c r="G24" i="15"/>
  <c r="G25" i="15"/>
  <c r="I22" i="15"/>
  <c r="I21" i="15"/>
  <c r="I23" i="15"/>
  <c r="I24" i="15"/>
  <c r="I25" i="15"/>
  <c r="D19" i="15"/>
  <c r="J22" i="15"/>
  <c r="J21" i="15"/>
  <c r="J23" i="15"/>
  <c r="J24" i="15"/>
  <c r="J25" i="15"/>
  <c r="H19" i="15"/>
  <c r="E19" i="15"/>
  <c r="C24" i="15"/>
  <c r="C23" i="15"/>
  <c r="C22" i="15"/>
  <c r="C19" i="15"/>
  <c r="C21" i="15" l="1"/>
  <c r="J20" i="15" l="1"/>
  <c r="K20" i="15"/>
  <c r="F20" i="15"/>
  <c r="C20" i="15"/>
  <c r="E20" i="15"/>
  <c r="D20" i="15"/>
  <c r="G20" i="15"/>
  <c r="R29" i="43" l="1"/>
  <c r="W29" i="43" s="1"/>
  <c r="E42" i="45"/>
  <c r="AI7" i="65" s="1"/>
  <c r="AD27" i="65" s="1"/>
  <c r="D39" i="45"/>
  <c r="D38" i="45"/>
  <c r="D37" i="45"/>
  <c r="D36" i="45"/>
  <c r="D35" i="45"/>
  <c r="CK30" i="43"/>
  <c r="CJ30" i="43"/>
  <c r="CI30" i="43"/>
  <c r="CI41" i="43" s="1"/>
  <c r="CH30" i="43"/>
  <c r="CG30" i="43"/>
  <c r="CK29" i="43"/>
  <c r="CJ29" i="43"/>
  <c r="CI29" i="43"/>
  <c r="CI40" i="43" s="1"/>
  <c r="CH29" i="43"/>
  <c r="CG29" i="43"/>
  <c r="CK28" i="43"/>
  <c r="CJ28" i="43"/>
  <c r="CI28" i="43"/>
  <c r="CI39" i="43" s="1"/>
  <c r="CH28" i="43"/>
  <c r="CG28" i="43"/>
  <c r="CK27" i="43"/>
  <c r="CJ27" i="43"/>
  <c r="CJ38" i="43" s="1"/>
  <c r="CI27" i="43"/>
  <c r="CI38" i="43" s="1"/>
  <c r="CH27" i="43"/>
  <c r="CG27" i="43"/>
  <c r="CK26" i="43"/>
  <c r="CJ26" i="43"/>
  <c r="CI26" i="43"/>
  <c r="CI37" i="43" s="1"/>
  <c r="CH26" i="43"/>
  <c r="CG26" i="43"/>
  <c r="CK25" i="43"/>
  <c r="CJ25" i="43"/>
  <c r="CI25" i="43"/>
  <c r="CI36" i="43" s="1"/>
  <c r="CH25" i="43"/>
  <c r="CG25" i="43"/>
  <c r="CK24" i="43"/>
  <c r="CJ24" i="43"/>
  <c r="CI24" i="43"/>
  <c r="CH24" i="43"/>
  <c r="CG24" i="43"/>
  <c r="BY24" i="43"/>
  <c r="BZ24" i="43"/>
  <c r="CA24" i="43"/>
  <c r="CA35" i="43" s="1"/>
  <c r="CB24" i="43"/>
  <c r="CC24" i="43"/>
  <c r="BY25" i="43"/>
  <c r="BZ25" i="43"/>
  <c r="CA25" i="43"/>
  <c r="CA36" i="43" s="1"/>
  <c r="CB25" i="43"/>
  <c r="CC25" i="43"/>
  <c r="BY26" i="43"/>
  <c r="BZ26" i="43"/>
  <c r="CA26" i="43"/>
  <c r="CA37" i="43" s="1"/>
  <c r="CB26" i="43"/>
  <c r="CC26" i="43"/>
  <c r="BY27" i="43"/>
  <c r="BZ27" i="43"/>
  <c r="CA27" i="43"/>
  <c r="CB27" i="43"/>
  <c r="CC27" i="43"/>
  <c r="BY28" i="43"/>
  <c r="BZ28" i="43"/>
  <c r="CA28" i="43"/>
  <c r="CA39" i="43" s="1"/>
  <c r="CB28" i="43"/>
  <c r="CC28" i="43"/>
  <c r="BY29" i="43"/>
  <c r="BZ29" i="43"/>
  <c r="CA29" i="43"/>
  <c r="CA40" i="43" s="1"/>
  <c r="CB29" i="43"/>
  <c r="CC29" i="43"/>
  <c r="BY30" i="43"/>
  <c r="BZ30" i="43"/>
  <c r="CA30" i="43"/>
  <c r="CA41" i="43" s="1"/>
  <c r="CB30" i="43"/>
  <c r="CB41" i="43" s="1"/>
  <c r="CC30" i="43"/>
  <c r="C9" i="45" a="1"/>
  <c r="C9" i="45" s="1"/>
  <c r="BU30" i="43"/>
  <c r="BT30" i="43"/>
  <c r="BS30" i="43"/>
  <c r="BS41" i="43" s="1"/>
  <c r="BR30" i="43"/>
  <c r="BQ30" i="43"/>
  <c r="BU29" i="43"/>
  <c r="BT29" i="43"/>
  <c r="BS29" i="43"/>
  <c r="BS40" i="43" s="1"/>
  <c r="BR29" i="43"/>
  <c r="BQ29" i="43"/>
  <c r="BU28" i="43"/>
  <c r="BT28" i="43"/>
  <c r="BS28" i="43"/>
  <c r="BS39" i="43" s="1"/>
  <c r="BR28" i="43"/>
  <c r="BQ28" i="43"/>
  <c r="BU27" i="43"/>
  <c r="BT27" i="43"/>
  <c r="BS27" i="43"/>
  <c r="BS38" i="43" s="1"/>
  <c r="BR27" i="43"/>
  <c r="BQ27" i="43"/>
  <c r="BU26" i="43"/>
  <c r="BT26" i="43"/>
  <c r="BS26" i="43"/>
  <c r="BS37" i="43" s="1"/>
  <c r="BR26" i="43"/>
  <c r="BQ26" i="43"/>
  <c r="BU25" i="43"/>
  <c r="BT25" i="43"/>
  <c r="BS25" i="43"/>
  <c r="BS36" i="43" s="1"/>
  <c r="BR25" i="43"/>
  <c r="BQ25" i="43"/>
  <c r="BU24" i="43"/>
  <c r="BT24" i="43"/>
  <c r="BS24" i="43"/>
  <c r="BR24" i="43"/>
  <c r="BQ24" i="43"/>
  <c r="D4" i="46"/>
  <c r="E4" i="46"/>
  <c r="F4" i="46"/>
  <c r="G4" i="46"/>
  <c r="H4" i="46"/>
  <c r="I4" i="46"/>
  <c r="J4" i="46"/>
  <c r="K4" i="46"/>
  <c r="C4" i="46"/>
  <c r="D23" i="43"/>
  <c r="Z2" i="43" s="1"/>
  <c r="E23" i="43"/>
  <c r="AI2" i="43" s="1"/>
  <c r="F23" i="43"/>
  <c r="AR2" i="43" s="1"/>
  <c r="G23" i="43"/>
  <c r="AZ2" i="43" s="1"/>
  <c r="H23" i="43"/>
  <c r="BH2" i="43" s="1"/>
  <c r="I23" i="43"/>
  <c r="BP2" i="43" s="1"/>
  <c r="J23" i="43"/>
  <c r="BX2" i="43" s="1"/>
  <c r="CF2" i="43"/>
  <c r="Q2" i="43"/>
  <c r="C5" i="45" a="1"/>
  <c r="C5" i="45" s="1"/>
  <c r="C6" i="45" a="1"/>
  <c r="C6" i="45" s="1"/>
  <c r="C7" i="45" a="1"/>
  <c r="C7" i="45" s="1"/>
  <c r="C8" i="45" a="1"/>
  <c r="C8" i="45" s="1"/>
  <c r="C10" i="45" a="1"/>
  <c r="C10" i="45" s="1"/>
  <c r="C11" i="45" a="1"/>
  <c r="C11" i="45" s="1"/>
  <c r="C12" i="45" a="1"/>
  <c r="C12" i="45" s="1"/>
  <c r="C4" i="45" a="1"/>
  <c r="C4" i="45" s="1"/>
  <c r="BM30" i="43"/>
  <c r="BL30" i="43"/>
  <c r="BK30" i="43"/>
  <c r="BJ30" i="43"/>
  <c r="BI30" i="43"/>
  <c r="BE30" i="43"/>
  <c r="BD30" i="43"/>
  <c r="BC30" i="43"/>
  <c r="BC41" i="43" s="1"/>
  <c r="BB30" i="43"/>
  <c r="BA30" i="43"/>
  <c r="AW30" i="43"/>
  <c r="AV30" i="43"/>
  <c r="AU30" i="43"/>
  <c r="AT30" i="43"/>
  <c r="AS30" i="43"/>
  <c r="BM29" i="43"/>
  <c r="BL29" i="43"/>
  <c r="BK29" i="43"/>
  <c r="BJ29" i="43"/>
  <c r="BI29" i="43"/>
  <c r="BE29" i="43"/>
  <c r="BD29" i="43"/>
  <c r="BC29" i="43"/>
  <c r="BB29" i="43"/>
  <c r="BA29" i="43"/>
  <c r="AW29" i="43"/>
  <c r="AV29" i="43"/>
  <c r="AU29" i="43"/>
  <c r="AT29" i="43"/>
  <c r="AS29" i="43"/>
  <c r="BM28" i="43"/>
  <c r="BL28" i="43"/>
  <c r="BK28" i="43"/>
  <c r="BJ28" i="43"/>
  <c r="BI28" i="43"/>
  <c r="BE28" i="43"/>
  <c r="BD28" i="43"/>
  <c r="BC28" i="43"/>
  <c r="BC39" i="43" s="1"/>
  <c r="BB28" i="43"/>
  <c r="BA28" i="43"/>
  <c r="AW28" i="43"/>
  <c r="AV28" i="43"/>
  <c r="AU28" i="43"/>
  <c r="AT28" i="43"/>
  <c r="AS28" i="43"/>
  <c r="BM27" i="43"/>
  <c r="BL27" i="43"/>
  <c r="BK27" i="43"/>
  <c r="BK38" i="43" s="1"/>
  <c r="BJ27" i="43"/>
  <c r="BI27" i="43"/>
  <c r="BE27" i="43"/>
  <c r="BD27" i="43"/>
  <c r="BC27" i="43"/>
  <c r="BC38" i="43" s="1"/>
  <c r="BB27" i="43"/>
  <c r="BA27" i="43"/>
  <c r="AW27" i="43"/>
  <c r="AV27" i="43"/>
  <c r="AU27" i="43"/>
  <c r="AT27" i="43"/>
  <c r="AS27" i="43"/>
  <c r="BM26" i="43"/>
  <c r="BL26" i="43"/>
  <c r="BK26" i="43"/>
  <c r="BJ26" i="43"/>
  <c r="BI26" i="43"/>
  <c r="BE26" i="43"/>
  <c r="BD26" i="43"/>
  <c r="BC26" i="43"/>
  <c r="BB26" i="43"/>
  <c r="BA26" i="43"/>
  <c r="AW26" i="43"/>
  <c r="AV26" i="43"/>
  <c r="AU26" i="43"/>
  <c r="AT26" i="43"/>
  <c r="AS26" i="43"/>
  <c r="BM25" i="43"/>
  <c r="BL25" i="43"/>
  <c r="BK25" i="43"/>
  <c r="BK36" i="43" s="1"/>
  <c r="BJ25" i="43"/>
  <c r="BI25" i="43"/>
  <c r="BE25" i="43"/>
  <c r="BD25" i="43"/>
  <c r="BC25" i="43"/>
  <c r="BB25" i="43"/>
  <c r="BA25" i="43"/>
  <c r="AW25" i="43"/>
  <c r="AV25" i="43"/>
  <c r="AU25" i="43"/>
  <c r="AU36" i="43" s="1"/>
  <c r="AT25" i="43"/>
  <c r="AS25" i="43"/>
  <c r="BM24" i="43"/>
  <c r="BL24" i="43"/>
  <c r="BK24" i="43"/>
  <c r="BK35" i="43" s="1"/>
  <c r="BJ24" i="43"/>
  <c r="BI24" i="43"/>
  <c r="BE24" i="43"/>
  <c r="BD24" i="43"/>
  <c r="BC24" i="43"/>
  <c r="BB24" i="43"/>
  <c r="BA24" i="43"/>
  <c r="AW24" i="43"/>
  <c r="AV24" i="43"/>
  <c r="AU24" i="43"/>
  <c r="AT24" i="43"/>
  <c r="AS24" i="43"/>
  <c r="AN30" i="43"/>
  <c r="AM30" i="43"/>
  <c r="AL30" i="43"/>
  <c r="AK30" i="43"/>
  <c r="AJ30" i="43"/>
  <c r="AN29" i="43"/>
  <c r="AM29" i="43"/>
  <c r="AL29" i="43"/>
  <c r="AK29" i="43"/>
  <c r="AJ29" i="43"/>
  <c r="AN28" i="43"/>
  <c r="AM28" i="43"/>
  <c r="AL28" i="43"/>
  <c r="AL39" i="43" s="1"/>
  <c r="AK28" i="43"/>
  <c r="AJ28" i="43"/>
  <c r="AN27" i="43"/>
  <c r="AM27" i="43"/>
  <c r="AL27" i="43"/>
  <c r="AK27" i="43"/>
  <c r="AJ27" i="43"/>
  <c r="AN26" i="43"/>
  <c r="AM26" i="43"/>
  <c r="AL26" i="43"/>
  <c r="AL37" i="43" s="1"/>
  <c r="AK26" i="43"/>
  <c r="AJ26" i="43"/>
  <c r="AN25" i="43"/>
  <c r="AM25" i="43"/>
  <c r="AL25" i="43"/>
  <c r="AL36" i="43" s="1"/>
  <c r="AK25" i="43"/>
  <c r="AJ25" i="43"/>
  <c r="AN24" i="43"/>
  <c r="AM24" i="43"/>
  <c r="AL24" i="43"/>
  <c r="AL35" i="43" s="1"/>
  <c r="AK24" i="43"/>
  <c r="AJ24" i="43"/>
  <c r="AA24" i="43"/>
  <c r="R24" i="43"/>
  <c r="R30" i="43"/>
  <c r="W30" i="43" s="1"/>
  <c r="X30" i="43" s="1"/>
  <c r="AD11" i="65" l="1"/>
  <c r="AD14" i="65"/>
  <c r="AD19" i="65"/>
  <c r="AD13" i="65"/>
  <c r="AD18" i="65"/>
  <c r="AD17" i="65"/>
  <c r="AD15" i="65"/>
  <c r="AD10" i="65"/>
  <c r="AD12" i="65"/>
  <c r="AD9" i="65"/>
  <c r="AD8" i="65"/>
  <c r="AD16" i="65"/>
  <c r="AD34" i="65"/>
  <c r="AD29" i="65"/>
  <c r="AD32" i="65"/>
  <c r="AD24" i="65"/>
  <c r="AD28" i="65"/>
  <c r="AD26" i="65"/>
  <c r="AD35" i="65"/>
  <c r="AD25" i="65"/>
  <c r="AD30" i="65"/>
  <c r="AD33" i="65"/>
  <c r="AD31" i="65"/>
  <c r="BT39" i="43"/>
  <c r="CZ41" i="43"/>
  <c r="DH39" i="43"/>
  <c r="DP37" i="43"/>
  <c r="DH41" i="43"/>
  <c r="CZ39" i="43"/>
  <c r="DP35" i="43"/>
  <c r="CR35" i="43"/>
  <c r="CR39" i="43"/>
  <c r="DP36" i="43"/>
  <c r="CZ36" i="43"/>
  <c r="CZ40" i="43"/>
  <c r="CZ35" i="43"/>
  <c r="DP40" i="43"/>
  <c r="CR40" i="43"/>
  <c r="DP38" i="43"/>
  <c r="DP41" i="43"/>
  <c r="DH37" i="43"/>
  <c r="CR41" i="43"/>
  <c r="DH35" i="43"/>
  <c r="CR37" i="43"/>
  <c r="CR36" i="43"/>
  <c r="DP39" i="43"/>
  <c r="CZ38" i="43"/>
  <c r="DH36" i="43"/>
  <c r="CZ37" i="43"/>
  <c r="CR38" i="43"/>
  <c r="DH40" i="43"/>
  <c r="DH38" i="43"/>
  <c r="DP42" i="43"/>
  <c r="DH42" i="43"/>
  <c r="CR42" i="43"/>
  <c r="CZ42" i="43"/>
  <c r="CS38" i="43"/>
  <c r="DQ41" i="43"/>
  <c r="DA38" i="43"/>
  <c r="DI39" i="43"/>
  <c r="CS41" i="43"/>
  <c r="CS35" i="43"/>
  <c r="CS40" i="43"/>
  <c r="DA40" i="43"/>
  <c r="DQ37" i="43"/>
  <c r="CS36" i="43"/>
  <c r="DQ36" i="43"/>
  <c r="DA41" i="43"/>
  <c r="CS37" i="43"/>
  <c r="DI41" i="43"/>
  <c r="DA35" i="43"/>
  <c r="DI37" i="43"/>
  <c r="DQ35" i="43"/>
  <c r="DQ40" i="43"/>
  <c r="CS39" i="43"/>
  <c r="DI35" i="43"/>
  <c r="DA39" i="43"/>
  <c r="DQ39" i="43"/>
  <c r="DI40" i="43"/>
  <c r="DA36" i="43"/>
  <c r="DI38" i="43"/>
  <c r="DA37" i="43"/>
  <c r="DQ38" i="43"/>
  <c r="DI36" i="43"/>
  <c r="DI42" i="43"/>
  <c r="DQ42" i="43"/>
  <c r="DA42" i="43"/>
  <c r="CS42" i="43"/>
  <c r="CQ41" i="43"/>
  <c r="CQ38" i="43"/>
  <c r="CQ35" i="43"/>
  <c r="DG35" i="43"/>
  <c r="CY38" i="43"/>
  <c r="CQ37" i="43"/>
  <c r="DO36" i="43"/>
  <c r="DG38" i="43"/>
  <c r="DO41" i="43"/>
  <c r="DG37" i="43"/>
  <c r="CY35" i="43"/>
  <c r="CQ39" i="43"/>
  <c r="CY40" i="43"/>
  <c r="DO39" i="43"/>
  <c r="CY39" i="43"/>
  <c r="DG36" i="43"/>
  <c r="CY36" i="43"/>
  <c r="CQ36" i="43"/>
  <c r="DO35" i="43"/>
  <c r="DG39" i="43"/>
  <c r="DO37" i="43"/>
  <c r="CQ40" i="43"/>
  <c r="CY37" i="43"/>
  <c r="DO38" i="43"/>
  <c r="CY41" i="43"/>
  <c r="DO40" i="43"/>
  <c r="DG41" i="43"/>
  <c r="DG40" i="43"/>
  <c r="DG42" i="43"/>
  <c r="DO42" i="43"/>
  <c r="CY42" i="43"/>
  <c r="CQ42" i="43"/>
  <c r="CO41" i="43"/>
  <c r="CO38" i="43"/>
  <c r="DE36" i="43"/>
  <c r="DE39" i="43"/>
  <c r="CW41" i="43"/>
  <c r="CO35" i="43"/>
  <c r="DM37" i="43"/>
  <c r="DM40" i="43"/>
  <c r="DM39" i="43"/>
  <c r="CW35" i="43"/>
  <c r="CW40" i="43"/>
  <c r="DE38" i="43"/>
  <c r="DE35" i="43"/>
  <c r="DE37" i="43"/>
  <c r="CW39" i="43"/>
  <c r="DM35" i="43"/>
  <c r="CO39" i="43"/>
  <c r="CW37" i="43"/>
  <c r="DM41" i="43"/>
  <c r="DM38" i="43"/>
  <c r="CO37" i="43"/>
  <c r="DE40" i="43"/>
  <c r="CO36" i="43"/>
  <c r="DE41" i="43"/>
  <c r="DM36" i="43"/>
  <c r="CW38" i="43"/>
  <c r="CO40" i="43"/>
  <c r="CW36" i="43"/>
  <c r="CW42" i="43"/>
  <c r="CO42" i="43"/>
  <c r="DM42" i="43"/>
  <c r="DE42" i="43"/>
  <c r="CP39" i="43"/>
  <c r="CP41" i="43"/>
  <c r="DN41" i="43"/>
  <c r="DN38" i="43"/>
  <c r="CX42" i="43"/>
  <c r="DN37" i="43"/>
  <c r="DF39" i="43"/>
  <c r="DN40" i="43"/>
  <c r="CP42" i="43"/>
  <c r="DF36" i="43"/>
  <c r="DF41" i="43"/>
  <c r="CX37" i="43"/>
  <c r="DN39" i="43"/>
  <c r="CX36" i="43"/>
  <c r="CX41" i="43"/>
  <c r="CX38" i="43"/>
  <c r="CP36" i="43"/>
  <c r="CX39" i="43"/>
  <c r="DF40" i="43"/>
  <c r="DN35" i="43"/>
  <c r="DF37" i="43"/>
  <c r="DN36" i="43"/>
  <c r="CP35" i="43"/>
  <c r="CX35" i="43"/>
  <c r="CP37" i="43"/>
  <c r="CP38" i="43"/>
  <c r="DF35" i="43"/>
  <c r="CX40" i="43"/>
  <c r="DF38" i="43"/>
  <c r="CP40" i="43"/>
  <c r="DF42" i="43"/>
  <c r="DN42" i="43"/>
  <c r="AS46" i="43"/>
  <c r="CW46" i="43"/>
  <c r="DB46" i="43" s="1"/>
  <c r="M46" i="43" s="1"/>
  <c r="DM46" i="43"/>
  <c r="DR46" i="43" s="1"/>
  <c r="O46" i="43" s="1"/>
  <c r="DE46" i="43"/>
  <c r="DJ46" i="43" s="1"/>
  <c r="N46" i="43" s="1"/>
  <c r="CO46" i="43"/>
  <c r="CT46" i="43" s="1"/>
  <c r="L46" i="43" s="1"/>
  <c r="H13" i="45" s="1" a="1"/>
  <c r="H13" i="45" s="1"/>
  <c r="BZ39" i="43"/>
  <c r="BZ37" i="43"/>
  <c r="BV25" i="43"/>
  <c r="I25" i="43" s="1"/>
  <c r="I6" i="46" s="1"/>
  <c r="BR39" i="43"/>
  <c r="BY38" i="43"/>
  <c r="BV28" i="43"/>
  <c r="I28" i="43" s="1"/>
  <c r="I9" i="46" s="1"/>
  <c r="BV27" i="43"/>
  <c r="I27" i="43" s="1"/>
  <c r="I8" i="46" s="1"/>
  <c r="BV26" i="43"/>
  <c r="I26" i="43" s="1"/>
  <c r="I7" i="46" s="1"/>
  <c r="BV29" i="43"/>
  <c r="I29" i="43" s="1"/>
  <c r="I10" i="46" s="1"/>
  <c r="BV30" i="43"/>
  <c r="I30" i="43" s="1"/>
  <c r="I11" i="46" s="1"/>
  <c r="BV24" i="43"/>
  <c r="I24" i="43" s="1"/>
  <c r="I5" i="46" s="1"/>
  <c r="BF30" i="43"/>
  <c r="BN29" i="43"/>
  <c r="H29" i="43" s="1"/>
  <c r="BF24" i="43"/>
  <c r="G24" i="43" s="1"/>
  <c r="G5" i="46" s="1"/>
  <c r="BN28" i="43"/>
  <c r="H28" i="43" s="1"/>
  <c r="BN27" i="43"/>
  <c r="H27" i="43" s="1"/>
  <c r="BN26" i="43"/>
  <c r="H26" i="43" s="1"/>
  <c r="BF29" i="43"/>
  <c r="BN25" i="43"/>
  <c r="H25" i="43" s="1"/>
  <c r="BF28" i="43"/>
  <c r="G28" i="43" s="1"/>
  <c r="G9" i="46" s="1"/>
  <c r="BN24" i="43"/>
  <c r="H24" i="43" s="1"/>
  <c r="BF27" i="43"/>
  <c r="G27" i="43" s="1"/>
  <c r="G8" i="46" s="1"/>
  <c r="BF26" i="43"/>
  <c r="BN30" i="43"/>
  <c r="H30" i="43" s="1"/>
  <c r="BF25" i="43"/>
  <c r="K9" i="46"/>
  <c r="K10" i="46"/>
  <c r="K5" i="46"/>
  <c r="CG37" i="43"/>
  <c r="K7" i="46"/>
  <c r="K8" i="46"/>
  <c r="K6" i="46"/>
  <c r="K11" i="46"/>
  <c r="J7" i="46"/>
  <c r="BY39" i="43"/>
  <c r="J9" i="46"/>
  <c r="BY36" i="43"/>
  <c r="J6" i="46"/>
  <c r="J5" i="46"/>
  <c r="J10" i="46"/>
  <c r="J8" i="46"/>
  <c r="J11" i="46"/>
  <c r="BQ36" i="43"/>
  <c r="AX25" i="43"/>
  <c r="F25" i="43" s="1"/>
  <c r="F6" i="46" s="1"/>
  <c r="AX30" i="43"/>
  <c r="F30" i="43" s="1"/>
  <c r="F11" i="46" s="1"/>
  <c r="AX29" i="43"/>
  <c r="F29" i="43" s="1"/>
  <c r="F10" i="46" s="1"/>
  <c r="AX28" i="43"/>
  <c r="F28" i="43" s="1"/>
  <c r="F9" i="46" s="1"/>
  <c r="AX27" i="43"/>
  <c r="F27" i="43" s="1"/>
  <c r="F8" i="46" s="1"/>
  <c r="AX26" i="43"/>
  <c r="F26" i="43" s="1"/>
  <c r="F7" i="46" s="1"/>
  <c r="AX24" i="43"/>
  <c r="X29" i="43"/>
  <c r="BY37" i="43"/>
  <c r="V40" i="43"/>
  <c r="V41" i="43"/>
  <c r="V39" i="43"/>
  <c r="AE40" i="43"/>
  <c r="AE39" i="43"/>
  <c r="AE41" i="43"/>
  <c r="CG41" i="43"/>
  <c r="U40" i="43"/>
  <c r="U41" i="43"/>
  <c r="AD40" i="43"/>
  <c r="AD39" i="43"/>
  <c r="U39" i="43"/>
  <c r="AD41" i="43"/>
  <c r="BQ41" i="43"/>
  <c r="BY40" i="43"/>
  <c r="BR35" i="43"/>
  <c r="BQ40" i="43"/>
  <c r="BY35" i="43"/>
  <c r="T41" i="43"/>
  <c r="AC41" i="43"/>
  <c r="AC40" i="43"/>
  <c r="AC39" i="43"/>
  <c r="T40" i="43"/>
  <c r="T39" i="43"/>
  <c r="BQ37" i="43"/>
  <c r="CH38" i="43"/>
  <c r="BY41" i="43"/>
  <c r="BZ41" i="43"/>
  <c r="CB37" i="43"/>
  <c r="BR40" i="43"/>
  <c r="BZ40" i="43"/>
  <c r="BR37" i="43"/>
  <c r="BZ35" i="43"/>
  <c r="CH36" i="43"/>
  <c r="BZ38" i="43"/>
  <c r="CH41" i="43"/>
  <c r="BR36" i="43"/>
  <c r="BZ36" i="43"/>
  <c r="BR41" i="43"/>
  <c r="BR38" i="43"/>
  <c r="CH37" i="43"/>
  <c r="AB41" i="43"/>
  <c r="AB40" i="43"/>
  <c r="AB39" i="43"/>
  <c r="S41" i="43"/>
  <c r="S39" i="43"/>
  <c r="S40" i="43"/>
  <c r="AA40" i="43"/>
  <c r="AA39" i="43"/>
  <c r="AA41" i="43"/>
  <c r="AA35" i="43"/>
  <c r="R35" i="43"/>
  <c r="BT38" i="43"/>
  <c r="CJ41" i="43"/>
  <c r="BT40" i="43"/>
  <c r="BT37" i="43"/>
  <c r="CB40" i="43"/>
  <c r="CB35" i="43"/>
  <c r="CJ40" i="43"/>
  <c r="CB39" i="43"/>
  <c r="CB38" i="43"/>
  <c r="CJ37" i="43"/>
  <c r="BT36" i="43"/>
  <c r="CC39" i="43"/>
  <c r="CB36" i="43"/>
  <c r="CJ39" i="43"/>
  <c r="BT41" i="43"/>
  <c r="CJ36" i="43"/>
  <c r="CA31" i="43"/>
  <c r="CC35" i="43"/>
  <c r="BU31" i="43"/>
  <c r="CH40" i="43"/>
  <c r="CH39" i="43"/>
  <c r="BU38" i="43"/>
  <c r="CC36" i="43"/>
  <c r="CK37" i="43"/>
  <c r="BU40" i="43"/>
  <c r="CC41" i="43"/>
  <c r="CK39" i="43"/>
  <c r="BU37" i="43"/>
  <c r="CC38" i="43"/>
  <c r="CC37" i="43"/>
  <c r="CK36" i="43"/>
  <c r="CK41" i="43"/>
  <c r="BU39" i="43"/>
  <c r="BU36" i="43"/>
  <c r="CK35" i="43"/>
  <c r="BU41" i="43"/>
  <c r="CK40" i="43"/>
  <c r="BT31" i="43"/>
  <c r="CC31" i="43"/>
  <c r="BZ31" i="43"/>
  <c r="BY31" i="43"/>
  <c r="CH31" i="43"/>
  <c r="CA38" i="43"/>
  <c r="CI31" i="43"/>
  <c r="BS31" i="43"/>
  <c r="CJ31" i="43"/>
  <c r="CK31" i="43"/>
  <c r="CG36" i="43"/>
  <c r="CG40" i="43"/>
  <c r="CG35" i="43"/>
  <c r="CG39" i="43"/>
  <c r="CG31" i="43"/>
  <c r="CI35" i="43"/>
  <c r="CG38" i="43"/>
  <c r="CH35" i="43"/>
  <c r="CJ35" i="43"/>
  <c r="CK38" i="43"/>
  <c r="CC40" i="43"/>
  <c r="CB31" i="43"/>
  <c r="BQ35" i="43"/>
  <c r="BQ39" i="43"/>
  <c r="BQ31" i="43"/>
  <c r="BS35" i="43"/>
  <c r="BQ38" i="43"/>
  <c r="BR31" i="43"/>
  <c r="BT35" i="43"/>
  <c r="BU35" i="43"/>
  <c r="AN36" i="43"/>
  <c r="AU35" i="43"/>
  <c r="BK37" i="43"/>
  <c r="BC40" i="43"/>
  <c r="AU41" i="43"/>
  <c r="AL41" i="43"/>
  <c r="BC37" i="43"/>
  <c r="AU40" i="43"/>
  <c r="AL38" i="43"/>
  <c r="BC36" i="43"/>
  <c r="AU39" i="43"/>
  <c r="BK41" i="43"/>
  <c r="AU38" i="43"/>
  <c r="BK40" i="43"/>
  <c r="AK35" i="43"/>
  <c r="AL40" i="43"/>
  <c r="AU37" i="43"/>
  <c r="BK39" i="43"/>
  <c r="BB37" i="43"/>
  <c r="BM37" i="43"/>
  <c r="AS39" i="43"/>
  <c r="AT40" i="43"/>
  <c r="BE40" i="43"/>
  <c r="BI41" i="43"/>
  <c r="BB36" i="43"/>
  <c r="BM36" i="43"/>
  <c r="BE39" i="43"/>
  <c r="BJ41" i="43"/>
  <c r="AJ40" i="43"/>
  <c r="BB35" i="43"/>
  <c r="BM31" i="43"/>
  <c r="AJ37" i="43"/>
  <c r="AK40" i="43"/>
  <c r="AN41" i="43"/>
  <c r="AK37" i="43"/>
  <c r="AN38" i="43"/>
  <c r="BD31" i="43"/>
  <c r="BD46" i="43" s="1"/>
  <c r="AT37" i="43"/>
  <c r="AT38" i="43"/>
  <c r="BE38" i="43"/>
  <c r="BI39" i="43"/>
  <c r="BJ40" i="43"/>
  <c r="AW41" i="43"/>
  <c r="AN31" i="43"/>
  <c r="AT31" i="43"/>
  <c r="BE35" i="43"/>
  <c r="AT36" i="43"/>
  <c r="BE36" i="43"/>
  <c r="BE37" i="43"/>
  <c r="BJ39" i="43"/>
  <c r="AW40" i="43"/>
  <c r="AS37" i="43"/>
  <c r="AJ36" i="43"/>
  <c r="AK39" i="43"/>
  <c r="AN40" i="43"/>
  <c r="BI35" i="43"/>
  <c r="BI36" i="43"/>
  <c r="BJ38" i="43"/>
  <c r="AW39" i="43"/>
  <c r="BA40" i="43"/>
  <c r="BB41" i="43"/>
  <c r="BM41" i="43"/>
  <c r="AS38" i="43"/>
  <c r="BI40" i="43"/>
  <c r="AK36" i="43"/>
  <c r="AN37" i="43"/>
  <c r="AJ41" i="43"/>
  <c r="BJ35" i="43"/>
  <c r="BJ36" i="43"/>
  <c r="AW37" i="43"/>
  <c r="BJ37" i="43"/>
  <c r="AW38" i="43"/>
  <c r="BA39" i="43"/>
  <c r="BM40" i="43"/>
  <c r="AL31" i="43"/>
  <c r="AO27" i="43"/>
  <c r="AK41" i="43"/>
  <c r="AW35" i="43"/>
  <c r="AW36" i="43"/>
  <c r="BA38" i="43"/>
  <c r="BB39" i="43"/>
  <c r="BM39" i="43"/>
  <c r="AS41" i="43"/>
  <c r="AO24" i="43"/>
  <c r="AK38" i="43"/>
  <c r="AN39" i="43"/>
  <c r="BA35" i="43"/>
  <c r="BB38" i="43"/>
  <c r="BM38" i="43"/>
  <c r="AT41" i="43"/>
  <c r="BE41" i="43"/>
  <c r="AM37" i="43"/>
  <c r="AV37" i="43"/>
  <c r="AV35" i="43"/>
  <c r="AV36" i="43"/>
  <c r="AM36" i="43"/>
  <c r="BL35" i="43"/>
  <c r="BL37" i="43"/>
  <c r="BD40" i="43"/>
  <c r="AM41" i="43"/>
  <c r="AM38" i="43"/>
  <c r="BD38" i="43"/>
  <c r="AV41" i="43"/>
  <c r="BD36" i="43"/>
  <c r="BD37" i="43"/>
  <c r="AV40" i="43"/>
  <c r="AM40" i="43"/>
  <c r="AV39" i="43"/>
  <c r="BL41" i="43"/>
  <c r="BL39" i="43"/>
  <c r="AM39" i="43"/>
  <c r="BL38" i="43"/>
  <c r="BD41" i="43"/>
  <c r="AM31" i="43"/>
  <c r="AO30" i="43"/>
  <c r="AO28" i="43"/>
  <c r="AO26" i="43"/>
  <c r="AS31" i="43"/>
  <c r="AV31" i="43"/>
  <c r="BC31" i="43"/>
  <c r="AT35" i="43"/>
  <c r="BL36" i="43"/>
  <c r="AV38" i="43"/>
  <c r="BB40" i="43"/>
  <c r="AU31" i="43"/>
  <c r="BE31" i="43"/>
  <c r="AS35" i="43"/>
  <c r="BC35" i="43"/>
  <c r="BM35" i="43"/>
  <c r="BA36" i="43"/>
  <c r="BI37" i="43"/>
  <c r="AW31" i="43"/>
  <c r="BI31" i="43"/>
  <c r="AS36" i="43"/>
  <c r="BA37" i="43"/>
  <c r="BI38" i="43"/>
  <c r="AS40" i="43"/>
  <c r="BA41" i="43"/>
  <c r="BD39" i="43"/>
  <c r="BL40" i="43"/>
  <c r="BJ31" i="43"/>
  <c r="AT39" i="43"/>
  <c r="BA31" i="43"/>
  <c r="BK31" i="43"/>
  <c r="BB31" i="43"/>
  <c r="BL31" i="43"/>
  <c r="BD35" i="43"/>
  <c r="AJ35" i="43"/>
  <c r="AJ39" i="43"/>
  <c r="AJ31" i="43"/>
  <c r="AO25" i="43"/>
  <c r="AO29" i="43"/>
  <c r="AK31" i="43"/>
  <c r="AM35" i="43"/>
  <c r="AN35" i="43"/>
  <c r="AJ38" i="43"/>
  <c r="R41" i="43"/>
  <c r="R28" i="43"/>
  <c r="W28" i="43" s="1"/>
  <c r="X28" i="43" s="1"/>
  <c r="V27" i="43"/>
  <c r="V38" i="43" s="1"/>
  <c r="U27" i="43"/>
  <c r="U38" i="43" s="1"/>
  <c r="T27" i="43"/>
  <c r="T38" i="43" s="1"/>
  <c r="S27" i="43"/>
  <c r="S38" i="43" s="1"/>
  <c r="R27" i="43"/>
  <c r="V26" i="43"/>
  <c r="V37" i="43" s="1"/>
  <c r="U26" i="43"/>
  <c r="U37" i="43" s="1"/>
  <c r="T26" i="43"/>
  <c r="T37" i="43" s="1"/>
  <c r="S26" i="43"/>
  <c r="S37" i="43" s="1"/>
  <c r="R26" i="43"/>
  <c r="V25" i="43"/>
  <c r="V36" i="43" s="1"/>
  <c r="U25" i="43"/>
  <c r="U36" i="43" s="1"/>
  <c r="T25" i="43"/>
  <c r="T36" i="43" s="1"/>
  <c r="S25" i="43"/>
  <c r="S36" i="43" s="1"/>
  <c r="R25" i="43"/>
  <c r="V24" i="43"/>
  <c r="U24" i="43"/>
  <c r="T24" i="43"/>
  <c r="S24" i="43"/>
  <c r="AB27" i="43"/>
  <c r="AB38" i="43" s="1"/>
  <c r="AC27" i="43"/>
  <c r="AC38" i="43" s="1"/>
  <c r="AD27" i="43"/>
  <c r="AD38" i="43" s="1"/>
  <c r="AE27" i="43"/>
  <c r="AE38" i="43" s="1"/>
  <c r="AA27" i="43"/>
  <c r="AA38" i="43" s="1"/>
  <c r="AB26" i="43"/>
  <c r="AB37" i="43" s="1"/>
  <c r="AC26" i="43"/>
  <c r="AC37" i="43" s="1"/>
  <c r="AD26" i="43"/>
  <c r="AD37" i="43" s="1"/>
  <c r="AE26" i="43"/>
  <c r="AE37" i="43" s="1"/>
  <c r="AA26" i="43"/>
  <c r="AA37" i="43" s="1"/>
  <c r="AB24" i="43"/>
  <c r="AC24" i="43"/>
  <c r="AD24" i="43"/>
  <c r="AE24" i="43"/>
  <c r="AA25" i="43"/>
  <c r="AA36" i="43" s="1"/>
  <c r="AB25" i="43"/>
  <c r="AB36" i="43" s="1"/>
  <c r="AC25" i="43"/>
  <c r="AC36" i="43" s="1"/>
  <c r="AD25" i="43"/>
  <c r="AD36" i="43" s="1"/>
  <c r="AE25" i="43"/>
  <c r="AE36" i="43" s="1"/>
  <c r="H16" i="45" l="1" a="1"/>
  <c r="H16" i="45" s="1"/>
  <c r="O57" i="43"/>
  <c r="H15" i="45" a="1"/>
  <c r="H15" i="45" s="1"/>
  <c r="H14" i="45" a="1"/>
  <c r="H14" i="45" s="1"/>
  <c r="DJ35" i="43"/>
  <c r="N35" i="43" s="1"/>
  <c r="AD20" i="65"/>
  <c r="AF20" i="65" s="1"/>
  <c r="AD36" i="65"/>
  <c r="AF36" i="65" s="1"/>
  <c r="DB39" i="43"/>
  <c r="M39" i="43" s="1"/>
  <c r="CT36" i="43"/>
  <c r="L36" i="43" s="1"/>
  <c r="DR37" i="43"/>
  <c r="O37" i="43" s="1"/>
  <c r="DB37" i="43"/>
  <c r="M37" i="43" s="1"/>
  <c r="DJ42" i="43"/>
  <c r="N42" i="43" s="1"/>
  <c r="DJ41" i="43"/>
  <c r="N41" i="43" s="1"/>
  <c r="DR35" i="43"/>
  <c r="O35" i="43" s="1"/>
  <c r="DR40" i="43"/>
  <c r="O40" i="43" s="1"/>
  <c r="DR42" i="43"/>
  <c r="O42" i="43" s="1"/>
  <c r="DJ40" i="43"/>
  <c r="N40" i="43" s="1"/>
  <c r="DB42" i="43"/>
  <c r="M42" i="43" s="1"/>
  <c r="DB36" i="43"/>
  <c r="M36" i="43" s="1"/>
  <c r="DJ38" i="43"/>
  <c r="N38" i="43" s="1"/>
  <c r="DJ39" i="43"/>
  <c r="N39" i="43" s="1"/>
  <c r="CT42" i="43"/>
  <c r="L42" i="43" s="1"/>
  <c r="CT40" i="43"/>
  <c r="L40" i="43" s="1"/>
  <c r="DR41" i="43"/>
  <c r="O41" i="43" s="1"/>
  <c r="DB40" i="43"/>
  <c r="M40" i="43" s="1"/>
  <c r="DJ36" i="43"/>
  <c r="N36" i="43" s="1"/>
  <c r="DR38" i="43"/>
  <c r="O38" i="43" s="1"/>
  <c r="DB38" i="43"/>
  <c r="M38" i="43" s="1"/>
  <c r="CT35" i="43"/>
  <c r="L35" i="43" s="1"/>
  <c r="DB35" i="43"/>
  <c r="M35" i="43" s="1"/>
  <c r="CT38" i="43"/>
  <c r="L38" i="43" s="1"/>
  <c r="DJ37" i="43"/>
  <c r="N37" i="43" s="1"/>
  <c r="CT37" i="43"/>
  <c r="L37" i="43" s="1"/>
  <c r="DR36" i="43"/>
  <c r="O36" i="43" s="1"/>
  <c r="CT39" i="43"/>
  <c r="L39" i="43" s="1"/>
  <c r="DR39" i="43"/>
  <c r="O39" i="43" s="1"/>
  <c r="CT41" i="43"/>
  <c r="L41" i="43" s="1"/>
  <c r="DB41" i="43"/>
  <c r="M41" i="43" s="1"/>
  <c r="AX31" i="43"/>
  <c r="AY24" i="43" s="1"/>
  <c r="G30" i="43"/>
  <c r="G11" i="46" s="1"/>
  <c r="G29" i="43"/>
  <c r="G10" i="46" s="1"/>
  <c r="G25" i="43"/>
  <c r="G6" i="46" s="1"/>
  <c r="G26" i="43"/>
  <c r="G7" i="46" s="1"/>
  <c r="BV31" i="43"/>
  <c r="I31" i="43" s="1"/>
  <c r="BF31" i="43"/>
  <c r="G31" i="43" s="1"/>
  <c r="F8" i="45" s="1" a="1"/>
  <c r="F8" i="45" s="1"/>
  <c r="BN31" i="43"/>
  <c r="H31" i="43" s="1"/>
  <c r="AJ46" i="43"/>
  <c r="AO31" i="43"/>
  <c r="E31" i="43" s="1"/>
  <c r="CG46" i="43"/>
  <c r="BY42" i="43"/>
  <c r="BQ46" i="43"/>
  <c r="BI46" i="43"/>
  <c r="H8" i="46"/>
  <c r="H6" i="46"/>
  <c r="H10" i="46"/>
  <c r="H5" i="46"/>
  <c r="H9" i="46"/>
  <c r="H11" i="46"/>
  <c r="H7" i="46"/>
  <c r="CD41" i="43"/>
  <c r="J41" i="43" s="1"/>
  <c r="BA46" i="43"/>
  <c r="CD37" i="43"/>
  <c r="J37" i="43" s="1"/>
  <c r="AS42" i="43"/>
  <c r="F24" i="43"/>
  <c r="F5" i="46" s="1"/>
  <c r="E26" i="43"/>
  <c r="E25" i="43"/>
  <c r="E28" i="43"/>
  <c r="E9" i="46" s="1"/>
  <c r="E30" i="43"/>
  <c r="E11" i="46" s="1"/>
  <c r="E24" i="43"/>
  <c r="E5" i="46" s="1"/>
  <c r="E27" i="43"/>
  <c r="E8" i="46" s="1"/>
  <c r="E29" i="43"/>
  <c r="E10" i="46" s="1"/>
  <c r="AF41" i="43"/>
  <c r="D41" i="43" s="1"/>
  <c r="BD42" i="43"/>
  <c r="BY46" i="43"/>
  <c r="CL37" i="43"/>
  <c r="K37" i="43" s="1"/>
  <c r="BE42" i="43"/>
  <c r="BE46" i="43"/>
  <c r="AU42" i="43"/>
  <c r="AU46" i="43"/>
  <c r="BM42" i="43"/>
  <c r="BM46" i="43"/>
  <c r="BU42" i="43"/>
  <c r="BU46" i="43"/>
  <c r="T35" i="43"/>
  <c r="T31" i="43"/>
  <c r="T42" i="43" s="1"/>
  <c r="BL42" i="43"/>
  <c r="BL46" i="43"/>
  <c r="AW42" i="43"/>
  <c r="AW46" i="43"/>
  <c r="AL42" i="43"/>
  <c r="AL46" i="43"/>
  <c r="AT42" i="43"/>
  <c r="BR42" i="43"/>
  <c r="BR46" i="43"/>
  <c r="AE31" i="43"/>
  <c r="AE42" i="43" s="1"/>
  <c r="AE35" i="43"/>
  <c r="BB42" i="43"/>
  <c r="BB46" i="43"/>
  <c r="BC42" i="43"/>
  <c r="BC46" i="43"/>
  <c r="AN42" i="43"/>
  <c r="AN46" i="43"/>
  <c r="AF39" i="43"/>
  <c r="D39" i="43" s="1"/>
  <c r="BJ42" i="43"/>
  <c r="BJ46" i="43"/>
  <c r="CK42" i="43"/>
  <c r="CK46" i="43"/>
  <c r="CH42" i="43"/>
  <c r="CH46" i="43"/>
  <c r="AC35" i="43"/>
  <c r="AC31" i="43"/>
  <c r="AC42" i="43" s="1"/>
  <c r="BK42" i="43"/>
  <c r="BK46" i="43"/>
  <c r="AM42" i="43"/>
  <c r="AM46" i="43"/>
  <c r="CJ42" i="43"/>
  <c r="CJ46" i="43"/>
  <c r="CC42" i="43"/>
  <c r="CC46" i="43"/>
  <c r="U35" i="43"/>
  <c r="U31" i="43"/>
  <c r="U42" i="43" s="1"/>
  <c r="AD35" i="43"/>
  <c r="AD31" i="43"/>
  <c r="AD42" i="43" s="1"/>
  <c r="V35" i="43"/>
  <c r="V31" i="43"/>
  <c r="V42" i="43" s="1"/>
  <c r="AV42" i="43"/>
  <c r="AV46" i="43"/>
  <c r="CB42" i="43"/>
  <c r="CB46" i="43"/>
  <c r="BS42" i="43"/>
  <c r="BS46" i="43"/>
  <c r="BT42" i="43"/>
  <c r="BT46" i="43"/>
  <c r="CA42" i="43"/>
  <c r="CA46" i="43"/>
  <c r="CI42" i="43"/>
  <c r="CI46" i="43"/>
  <c r="BZ42" i="43"/>
  <c r="BZ46" i="43"/>
  <c r="AF38" i="43"/>
  <c r="D38" i="43" s="1"/>
  <c r="W41" i="43"/>
  <c r="C41" i="43" s="1"/>
  <c r="C25" i="46" s="1"/>
  <c r="CL41" i="43"/>
  <c r="K41" i="43" s="1"/>
  <c r="AF40" i="43"/>
  <c r="D40" i="43" s="1"/>
  <c r="CD36" i="43"/>
  <c r="J36" i="43" s="1"/>
  <c r="AF37" i="43"/>
  <c r="D37" i="43" s="1"/>
  <c r="BV37" i="43"/>
  <c r="I37" i="43" s="1"/>
  <c r="AK42" i="43"/>
  <c r="AK46" i="43"/>
  <c r="AB35" i="43"/>
  <c r="AB31" i="43"/>
  <c r="AB42" i="43" s="1"/>
  <c r="AA31" i="43"/>
  <c r="AA46" i="43" s="1"/>
  <c r="AF36" i="43"/>
  <c r="D36" i="43" s="1"/>
  <c r="S35" i="43"/>
  <c r="S31" i="43"/>
  <c r="S42" i="43" s="1"/>
  <c r="R31" i="43"/>
  <c r="CD39" i="43"/>
  <c r="J39" i="43" s="1"/>
  <c r="CL36" i="43"/>
  <c r="K36" i="43" s="1"/>
  <c r="BV40" i="43"/>
  <c r="I40" i="43" s="1"/>
  <c r="BV41" i="43"/>
  <c r="I41" i="43" s="1"/>
  <c r="W24" i="43"/>
  <c r="CD40" i="43"/>
  <c r="J40" i="43" s="1"/>
  <c r="BV36" i="43"/>
  <c r="I36" i="43" s="1"/>
  <c r="BV38" i="43"/>
  <c r="I38" i="43" s="1"/>
  <c r="BV39" i="43"/>
  <c r="I39" i="43" s="1"/>
  <c r="CL39" i="43"/>
  <c r="K39" i="43" s="1"/>
  <c r="CD38" i="43"/>
  <c r="J38" i="43" s="1"/>
  <c r="CL40" i="43"/>
  <c r="K40" i="43" s="1"/>
  <c r="BF39" i="43"/>
  <c r="G39" i="43" s="1"/>
  <c r="BN40" i="43"/>
  <c r="H40" i="43" s="1"/>
  <c r="AX39" i="43"/>
  <c r="F39" i="43" s="1"/>
  <c r="F23" i="46" s="1"/>
  <c r="AO37" i="43"/>
  <c r="AO36" i="43"/>
  <c r="CG42" i="43"/>
  <c r="CL35" i="43"/>
  <c r="K35" i="43" s="1"/>
  <c r="CL38" i="43"/>
  <c r="K38" i="43" s="1"/>
  <c r="CD35" i="43"/>
  <c r="J35" i="43" s="1"/>
  <c r="BQ42" i="43"/>
  <c r="BV35" i="43"/>
  <c r="I35" i="43" s="1"/>
  <c r="BF38" i="43"/>
  <c r="G38" i="43" s="1"/>
  <c r="BF40" i="43"/>
  <c r="G40" i="43" s="1"/>
  <c r="BF41" i="43"/>
  <c r="G41" i="43" s="1"/>
  <c r="BN36" i="43"/>
  <c r="H36" i="43" s="1"/>
  <c r="AO41" i="43"/>
  <c r="AX40" i="43"/>
  <c r="F40" i="43" s="1"/>
  <c r="F24" i="46" s="1"/>
  <c r="AX41" i="43"/>
  <c r="F41" i="43" s="1"/>
  <c r="F25" i="46" s="1"/>
  <c r="AF25" i="43"/>
  <c r="AF27" i="43"/>
  <c r="BN39" i="43"/>
  <c r="H39" i="43" s="1"/>
  <c r="BN41" i="43"/>
  <c r="H41" i="43" s="1"/>
  <c r="BN38" i="43"/>
  <c r="H38" i="43" s="1"/>
  <c r="AX37" i="43"/>
  <c r="F37" i="43" s="1"/>
  <c r="F21" i="46" s="1"/>
  <c r="AO40" i="43"/>
  <c r="BF37" i="43"/>
  <c r="G37" i="43" s="1"/>
  <c r="AX36" i="43"/>
  <c r="F36" i="43" s="1"/>
  <c r="F20" i="46" s="1"/>
  <c r="AO39" i="43"/>
  <c r="AO38" i="43"/>
  <c r="D10" i="46"/>
  <c r="AX38" i="43"/>
  <c r="F38" i="43" s="1"/>
  <c r="F22" i="46" s="1"/>
  <c r="BN35" i="43"/>
  <c r="H35" i="43" s="1"/>
  <c r="BN37" i="43"/>
  <c r="H37" i="43" s="1"/>
  <c r="BF36" i="43"/>
  <c r="G36" i="43" s="1"/>
  <c r="AF24" i="43"/>
  <c r="D9" i="46"/>
  <c r="AF26" i="43"/>
  <c r="D11" i="46"/>
  <c r="BF35" i="43"/>
  <c r="AX35" i="43"/>
  <c r="F35" i="43" s="1"/>
  <c r="F19" i="46" s="1"/>
  <c r="AO35" i="43"/>
  <c r="BA42" i="43"/>
  <c r="BI42" i="43"/>
  <c r="AJ42" i="43"/>
  <c r="C29" i="43"/>
  <c r="C10" i="46" s="1"/>
  <c r="W26" i="43"/>
  <c r="X26" i="43" s="1"/>
  <c r="C28" i="43"/>
  <c r="C9" i="46" s="1"/>
  <c r="W25" i="43"/>
  <c r="W27" i="43"/>
  <c r="X27" i="43" s="1"/>
  <c r="C30" i="43"/>
  <c r="C11" i="46" s="1"/>
  <c r="R38" i="43"/>
  <c r="W38" i="43" s="1"/>
  <c r="R40" i="43"/>
  <c r="W40" i="43" s="1"/>
  <c r="R37" i="43"/>
  <c r="W37" i="43" s="1"/>
  <c r="R39" i="43"/>
  <c r="W39" i="43" s="1"/>
  <c r="R36" i="43"/>
  <c r="W36" i="43" s="1"/>
  <c r="F6" i="45" l="1" a="1"/>
  <c r="F6" i="45" s="1"/>
  <c r="F10" i="45" a="1"/>
  <c r="F10" i="45" s="1"/>
  <c r="F9" i="45" a="1"/>
  <c r="F9" i="45" s="1"/>
  <c r="D16" i="45" a="1"/>
  <c r="D16" i="45" s="1"/>
  <c r="O55" i="43"/>
  <c r="D15" i="45" a="1"/>
  <c r="D15" i="45" s="1"/>
  <c r="D14" i="45" a="1"/>
  <c r="D14" i="45" s="1"/>
  <c r="AF37" i="65"/>
  <c r="AX6" i="65"/>
  <c r="AY6" i="65" s="1"/>
  <c r="D13" i="45" a="1"/>
  <c r="D13" i="45" s="1"/>
  <c r="E7" i="46"/>
  <c r="E6" i="46"/>
  <c r="G35" i="43"/>
  <c r="G19" i="46" s="1"/>
  <c r="I24" i="46"/>
  <c r="H20" i="46"/>
  <c r="J22" i="46"/>
  <c r="H25" i="46"/>
  <c r="G25" i="46"/>
  <c r="H22" i="46"/>
  <c r="H23" i="46"/>
  <c r="G24" i="46"/>
  <c r="I23" i="46"/>
  <c r="J23" i="46"/>
  <c r="G22" i="46"/>
  <c r="I22" i="46"/>
  <c r="J21" i="46"/>
  <c r="I19" i="46"/>
  <c r="I20" i="46"/>
  <c r="I21" i="46"/>
  <c r="G20" i="46"/>
  <c r="G21" i="46"/>
  <c r="H24" i="46"/>
  <c r="J24" i="46"/>
  <c r="H21" i="46"/>
  <c r="J19" i="46"/>
  <c r="G23" i="46"/>
  <c r="J20" i="46"/>
  <c r="J25" i="46"/>
  <c r="H19" i="46"/>
  <c r="I25" i="46"/>
  <c r="K19" i="46"/>
  <c r="K23" i="46"/>
  <c r="K21" i="46"/>
  <c r="K25" i="46"/>
  <c r="K20" i="46"/>
  <c r="K22" i="46"/>
  <c r="K24" i="46"/>
  <c r="F31" i="43"/>
  <c r="F7" i="45" s="1" a="1"/>
  <c r="F7" i="45" s="1"/>
  <c r="AY28" i="43"/>
  <c r="AY25" i="43"/>
  <c r="AY27" i="43"/>
  <c r="AY30" i="43"/>
  <c r="AY29" i="43"/>
  <c r="AY26" i="43"/>
  <c r="AP25" i="43"/>
  <c r="AP24" i="43"/>
  <c r="AP29" i="43"/>
  <c r="AP27" i="43"/>
  <c r="AP26" i="43"/>
  <c r="AP30" i="43"/>
  <c r="AP28" i="43"/>
  <c r="C25" i="43"/>
  <c r="X25" i="43"/>
  <c r="C24" i="43"/>
  <c r="C5" i="46" s="1"/>
  <c r="X24" i="43"/>
  <c r="D27" i="43"/>
  <c r="D8" i="46" s="1"/>
  <c r="D24" i="43"/>
  <c r="D5" i="46" s="1"/>
  <c r="D25" i="43"/>
  <c r="D26" i="43"/>
  <c r="D7" i="46" s="1"/>
  <c r="E39" i="43"/>
  <c r="E23" i="46" s="1"/>
  <c r="E35" i="43"/>
  <c r="E19" i="46" s="1"/>
  <c r="E40" i="43"/>
  <c r="E24" i="46" s="1"/>
  <c r="E36" i="43"/>
  <c r="E20" i="46" s="1"/>
  <c r="E41" i="43"/>
  <c r="E25" i="46" s="1"/>
  <c r="E37" i="43"/>
  <c r="E21" i="46" s="1"/>
  <c r="E38" i="43"/>
  <c r="E22" i="46" s="1"/>
  <c r="AO46" i="43"/>
  <c r="AX46" i="43"/>
  <c r="F46" i="43" s="1"/>
  <c r="H7" i="45" s="1" a="1"/>
  <c r="H7" i="45" s="1"/>
  <c r="AF35" i="43"/>
  <c r="D35" i="43" s="1"/>
  <c r="D19" i="46" s="1"/>
  <c r="CD46" i="43"/>
  <c r="J46" i="43" s="1"/>
  <c r="M57" i="43" s="1"/>
  <c r="AX42" i="43"/>
  <c r="F42" i="43" s="1"/>
  <c r="D7" i="45" s="1" a="1"/>
  <c r="D7" i="45" s="1"/>
  <c r="BF46" i="43"/>
  <c r="BN46" i="43"/>
  <c r="H46" i="43" s="1"/>
  <c r="H9" i="45" s="1" a="1"/>
  <c r="H9" i="45" s="1"/>
  <c r="CD42" i="43"/>
  <c r="J42" i="43" s="1"/>
  <c r="D11" i="45" s="1" a="1"/>
  <c r="D11" i="45" s="1"/>
  <c r="CL46" i="43"/>
  <c r="K46" i="43" s="1"/>
  <c r="N57" i="43" s="1"/>
  <c r="BV46" i="43"/>
  <c r="I46" i="43" s="1"/>
  <c r="H10" i="45" s="1" a="1"/>
  <c r="H10" i="45" s="1"/>
  <c r="C27" i="43"/>
  <c r="C8" i="46" s="1"/>
  <c r="C26" i="43"/>
  <c r="C7" i="46" s="1"/>
  <c r="BF42" i="43"/>
  <c r="CL42" i="43"/>
  <c r="K42" i="43" s="1"/>
  <c r="N55" i="43" s="1"/>
  <c r="W35" i="43"/>
  <c r="C35" i="43" s="1"/>
  <c r="C19" i="46" s="1"/>
  <c r="BV42" i="43"/>
  <c r="I42" i="43" s="1"/>
  <c r="D10" i="45" s="1" a="1"/>
  <c r="D10" i="45" s="1"/>
  <c r="BN42" i="43"/>
  <c r="H42" i="43" s="1"/>
  <c r="AO42" i="43"/>
  <c r="AF31" i="43"/>
  <c r="AA42" i="43"/>
  <c r="AF42" i="43" s="1"/>
  <c r="D42" i="43" s="1"/>
  <c r="D5" i="45" s="1" a="1"/>
  <c r="D5" i="45" s="1"/>
  <c r="R46" i="43"/>
  <c r="W31" i="43"/>
  <c r="AE46" i="43"/>
  <c r="AB46" i="43"/>
  <c r="AC46" i="43"/>
  <c r="AD46" i="43"/>
  <c r="S46" i="43"/>
  <c r="V46" i="43"/>
  <c r="U46" i="43"/>
  <c r="T46" i="43"/>
  <c r="F13" i="46"/>
  <c r="D22" i="46"/>
  <c r="D25" i="46"/>
  <c r="D20" i="46"/>
  <c r="D24" i="46"/>
  <c r="D21" i="46"/>
  <c r="D23" i="46"/>
  <c r="C39" i="43"/>
  <c r="C23" i="46" s="1"/>
  <c r="C38" i="43"/>
  <c r="C22" i="46" s="1"/>
  <c r="C37" i="43"/>
  <c r="C21" i="46" s="1"/>
  <c r="C36" i="43"/>
  <c r="C20" i="46" s="1"/>
  <c r="C40" i="43"/>
  <c r="C24" i="46" s="1"/>
  <c r="R42" i="43"/>
  <c r="W42" i="43" s="1"/>
  <c r="P57" i="43" l="1"/>
  <c r="E46" i="64" s="1"/>
  <c r="F46" i="64" s="1"/>
  <c r="D9" i="45" a="1"/>
  <c r="D9" i="45" s="1"/>
  <c r="M55" i="43"/>
  <c r="H12" i="45" a="1"/>
  <c r="H12" i="45" s="1"/>
  <c r="H11" i="45" a="1"/>
  <c r="H11" i="45" s="1"/>
  <c r="D6" i="46"/>
  <c r="D13" i="46" s="1"/>
  <c r="D12" i="45" a="1"/>
  <c r="D12" i="45" s="1"/>
  <c r="E13" i="46"/>
  <c r="C6" i="46"/>
  <c r="C13" i="46" s="1"/>
  <c r="I7" i="45"/>
  <c r="E7" i="45"/>
  <c r="G46" i="43"/>
  <c r="H8" i="45" s="1" a="1"/>
  <c r="H8" i="45" s="1"/>
  <c r="G42" i="43"/>
  <c r="D8" i="45" s="1" a="1"/>
  <c r="D8" i="45" s="1"/>
  <c r="AG30" i="43"/>
  <c r="AG28" i="43"/>
  <c r="AG29" i="43"/>
  <c r="AG26" i="43"/>
  <c r="AG25" i="43"/>
  <c r="AG24" i="43"/>
  <c r="AG27" i="43"/>
  <c r="D31" i="43"/>
  <c r="E46" i="43"/>
  <c r="H6" i="45" s="1" a="1"/>
  <c r="H6" i="45" s="1"/>
  <c r="E42" i="43"/>
  <c r="C31" i="43"/>
  <c r="AF46" i="43"/>
  <c r="W46" i="43"/>
  <c r="C46" i="43" s="1"/>
  <c r="C42" i="43"/>
  <c r="H44" i="43" s="1"/>
  <c r="G13" i="46"/>
  <c r="E32" i="43" l="1"/>
  <c r="M32" i="43"/>
  <c r="K32" i="43"/>
  <c r="F32" i="43"/>
  <c r="N32" i="43"/>
  <c r="G32" i="43"/>
  <c r="O32" i="43"/>
  <c r="L32" i="43"/>
  <c r="H32" i="43"/>
  <c r="J32" i="43"/>
  <c r="I32" i="43"/>
  <c r="N33" i="43"/>
  <c r="O33" i="43"/>
  <c r="J33" i="43"/>
  <c r="M33" i="43"/>
  <c r="K33" i="43"/>
  <c r="L33" i="43"/>
  <c r="H33" i="43"/>
  <c r="I33" i="43"/>
  <c r="E33" i="43"/>
  <c r="D33" i="43"/>
  <c r="E47" i="64"/>
  <c r="E48" i="64"/>
  <c r="P55" i="43"/>
  <c r="E42" i="64" s="1"/>
  <c r="F42" i="64" s="1"/>
  <c r="F5" i="45" a="1"/>
  <c r="F5" i="45" s="1"/>
  <c r="H4" i="45" a="1"/>
  <c r="H4" i="45" s="1"/>
  <c r="M48" i="43"/>
  <c r="K44" i="43"/>
  <c r="M44" i="43"/>
  <c r="F4" i="45" a="1"/>
  <c r="F4" i="45" s="1"/>
  <c r="G14" i="45" s="1"/>
  <c r="D4" i="45" a="1"/>
  <c r="D4" i="45" s="1"/>
  <c r="E9" i="45" s="1"/>
  <c r="L44" i="43"/>
  <c r="D6" i="45" a="1"/>
  <c r="D6" i="45" s="1"/>
  <c r="N44" i="43"/>
  <c r="O44" i="43"/>
  <c r="M43" i="43"/>
  <c r="N43" i="43"/>
  <c r="O43" i="43"/>
  <c r="L48" i="43"/>
  <c r="O48" i="43"/>
  <c r="N48" i="43"/>
  <c r="L47" i="43"/>
  <c r="N47" i="43"/>
  <c r="O47" i="43"/>
  <c r="M47" i="43"/>
  <c r="F44" i="43"/>
  <c r="L43" i="43"/>
  <c r="I44" i="43"/>
  <c r="H48" i="43"/>
  <c r="H47" i="43"/>
  <c r="E12" i="46"/>
  <c r="F33" i="43"/>
  <c r="G48" i="43"/>
  <c r="I48" i="43"/>
  <c r="K48" i="43"/>
  <c r="J48" i="43"/>
  <c r="E48" i="43"/>
  <c r="F48" i="43"/>
  <c r="E47" i="43"/>
  <c r="J47" i="43"/>
  <c r="F47" i="43"/>
  <c r="G47" i="43"/>
  <c r="I47" i="43"/>
  <c r="K47" i="43"/>
  <c r="E44" i="43"/>
  <c r="G44" i="43"/>
  <c r="J44" i="43"/>
  <c r="E43" i="43"/>
  <c r="F43" i="43"/>
  <c r="I43" i="43"/>
  <c r="K43" i="43"/>
  <c r="G43" i="43"/>
  <c r="J43" i="43"/>
  <c r="H43" i="43"/>
  <c r="G33" i="43"/>
  <c r="D46" i="43"/>
  <c r="H5" i="45" s="1" a="1"/>
  <c r="H5" i="45" s="1"/>
  <c r="F15" i="46"/>
  <c r="F16" i="46" s="1"/>
  <c r="E15" i="46"/>
  <c r="E16" i="46" s="1"/>
  <c r="D15" i="46"/>
  <c r="D16" i="46" s="1"/>
  <c r="F12" i="46"/>
  <c r="D12" i="46"/>
  <c r="G15" i="46"/>
  <c r="G16" i="46" s="1"/>
  <c r="D32" i="43"/>
  <c r="D43" i="43"/>
  <c r="D44" i="43"/>
  <c r="H13" i="46"/>
  <c r="H15" i="46" s="1"/>
  <c r="H16" i="46" s="1"/>
  <c r="G12" i="46"/>
  <c r="E43" i="64" l="1"/>
  <c r="E44" i="64"/>
  <c r="H6" i="62" a="1"/>
  <c r="H6" i="62" s="1"/>
  <c r="H117" i="64"/>
  <c r="I117" i="64" s="1"/>
  <c r="D117" i="64"/>
  <c r="E117" i="64" s="1"/>
  <c r="I16" i="45"/>
  <c r="I9" i="45"/>
  <c r="I13" i="45"/>
  <c r="I14" i="45"/>
  <c r="I15" i="45"/>
  <c r="E16" i="45"/>
  <c r="G15" i="45"/>
  <c r="G16" i="45"/>
  <c r="G13" i="45"/>
  <c r="E10" i="45"/>
  <c r="E15" i="45"/>
  <c r="E14" i="45"/>
  <c r="E13" i="45"/>
  <c r="G11" i="45"/>
  <c r="G12" i="45"/>
  <c r="I12" i="45"/>
  <c r="E12" i="45"/>
  <c r="E11" i="45"/>
  <c r="I11" i="45"/>
  <c r="I5" i="45"/>
  <c r="I8" i="45"/>
  <c r="I10" i="45"/>
  <c r="I6" i="45"/>
  <c r="G9" i="45"/>
  <c r="G8" i="45"/>
  <c r="G10" i="45"/>
  <c r="G6" i="45"/>
  <c r="G7" i="45"/>
  <c r="E8" i="45"/>
  <c r="E6" i="45"/>
  <c r="G5" i="45"/>
  <c r="D48" i="43"/>
  <c r="D47" i="43"/>
  <c r="E5" i="45"/>
  <c r="H12" i="46"/>
  <c r="I13" i="46"/>
  <c r="D6" i="62" l="1" a="1"/>
  <c r="D6" i="62" s="1"/>
  <c r="I15" i="46"/>
  <c r="I16" i="46" s="1"/>
  <c r="I12" i="46"/>
  <c r="J13" i="46"/>
  <c r="K13" i="46" l="1"/>
  <c r="J15" i="46"/>
  <c r="J16" i="46" s="1"/>
  <c r="J12" i="46"/>
  <c r="K15" i="46" l="1"/>
  <c r="K16" i="46" s="1"/>
  <c r="K12" i="46"/>
  <c r="L13" i="46"/>
  <c r="M13" i="46" l="1"/>
  <c r="L15" i="46"/>
  <c r="L16" i="46" s="1"/>
  <c r="L12" i="46"/>
  <c r="N13" i="46" l="1"/>
  <c r="M15" i="46"/>
  <c r="M16" i="46" s="1"/>
  <c r="M12" i="46"/>
  <c r="N15" i="46" l="1"/>
  <c r="N16" i="46" s="1"/>
  <c r="N12" i="46"/>
  <c r="D13" i="15" l="1"/>
  <c r="E13" i="15" l="1"/>
  <c r="M27" i="46"/>
  <c r="E27" i="46"/>
  <c r="D27" i="46"/>
  <c r="C27" i="46"/>
  <c r="F27" i="46"/>
  <c r="K27" i="46"/>
  <c r="L27" i="46"/>
  <c r="C13" i="15"/>
  <c r="D15" i="15" s="1"/>
  <c r="D12" i="15" l="1"/>
  <c r="D16" i="15"/>
  <c r="E15" i="15"/>
  <c r="E16" i="15" s="1"/>
  <c r="E12" i="15"/>
  <c r="N27" i="46"/>
  <c r="J27" i="46"/>
  <c r="J29" i="46" s="1"/>
  <c r="J30" i="46" s="1"/>
  <c r="N29" i="46"/>
  <c r="N30" i="46" s="1"/>
  <c r="L29" i="46"/>
  <c r="L30" i="46" s="1"/>
  <c r="G27" i="46"/>
  <c r="G29" i="46" s="1"/>
  <c r="G30" i="46" s="1"/>
  <c r="F29" i="46"/>
  <c r="F30" i="46" s="1"/>
  <c r="H27" i="46"/>
  <c r="H29" i="46" s="1"/>
  <c r="H30" i="46" s="1"/>
  <c r="M29" i="46"/>
  <c r="M30" i="46" s="1"/>
  <c r="K29" i="46"/>
  <c r="K30" i="46" s="1"/>
  <c r="I27" i="46"/>
  <c r="I29" i="46" s="1"/>
  <c r="I30" i="46" s="1"/>
  <c r="E29" i="46"/>
  <c r="E30" i="46" s="1"/>
  <c r="D26" i="46"/>
  <c r="E26" i="46"/>
  <c r="F26" i="46"/>
  <c r="K26" i="46"/>
  <c r="L26" i="46"/>
  <c r="M26" i="46"/>
  <c r="N26" i="46"/>
  <c r="C27" i="15"/>
  <c r="D29" i="46"/>
  <c r="D30" i="46" s="1"/>
  <c r="D27" i="15"/>
  <c r="G13" i="15" l="1"/>
  <c r="L13" i="15"/>
  <c r="N13" i="15"/>
  <c r="F13" i="15"/>
  <c r="J13" i="15"/>
  <c r="M13" i="15"/>
  <c r="I13" i="15"/>
  <c r="H13" i="15"/>
  <c r="K13" i="15"/>
  <c r="K27" i="15"/>
  <c r="K26" i="15" s="1"/>
  <c r="G27" i="15"/>
  <c r="G29" i="15" s="1"/>
  <c r="G30" i="15" s="1"/>
  <c r="N27" i="15"/>
  <c r="N26" i="15" s="1"/>
  <c r="F27" i="15"/>
  <c r="F26" i="15" s="1"/>
  <c r="L27" i="15"/>
  <c r="L29" i="15" s="1"/>
  <c r="L30" i="15" s="1"/>
  <c r="H27" i="15"/>
  <c r="H26" i="15" s="1"/>
  <c r="J27" i="15"/>
  <c r="J29" i="15" s="1"/>
  <c r="J30" i="15" s="1"/>
  <c r="I27" i="15"/>
  <c r="I26" i="15" s="1"/>
  <c r="E27" i="15"/>
  <c r="E26" i="15" s="1"/>
  <c r="M27" i="15"/>
  <c r="M29" i="15" s="1"/>
  <c r="M30" i="15" s="1"/>
  <c r="J26" i="46"/>
  <c r="I26" i="46"/>
  <c r="D29" i="15"/>
  <c r="D30" i="15" s="1"/>
  <c r="G26" i="46"/>
  <c r="H26" i="46"/>
  <c r="D26" i="15"/>
  <c r="L26" i="15" l="1"/>
  <c r="J26" i="15"/>
  <c r="I29" i="15"/>
  <c r="I30" i="15" s="1"/>
  <c r="H29" i="15"/>
  <c r="H30" i="15" s="1"/>
  <c r="J15" i="15"/>
  <c r="J16" i="15" s="1"/>
  <c r="J12" i="15"/>
  <c r="G26" i="15"/>
  <c r="M12" i="15"/>
  <c r="M15" i="15"/>
  <c r="M16" i="15" s="1"/>
  <c r="N29" i="15"/>
  <c r="N30" i="15" s="1"/>
  <c r="F29" i="15"/>
  <c r="F30" i="15" s="1"/>
  <c r="F12" i="15"/>
  <c r="F15" i="15"/>
  <c r="F16" i="15" s="1"/>
  <c r="N15" i="15"/>
  <c r="N16" i="15" s="1"/>
  <c r="N12" i="15"/>
  <c r="L15" i="15"/>
  <c r="L16" i="15" s="1"/>
  <c r="L12" i="15"/>
  <c r="K15" i="15"/>
  <c r="K16" i="15" s="1"/>
  <c r="K12" i="15"/>
  <c r="G15" i="15"/>
  <c r="G16" i="15" s="1"/>
  <c r="G12" i="15"/>
  <c r="H15" i="15"/>
  <c r="H16" i="15" s="1"/>
  <c r="H12" i="15"/>
  <c r="I12" i="15"/>
  <c r="I15" i="15"/>
  <c r="I16" i="15" s="1"/>
  <c r="M26" i="15"/>
  <c r="E29" i="15"/>
  <c r="E30" i="15" s="1"/>
  <c r="K29" i="15"/>
  <c r="K30" i="15" s="1"/>
  <c r="U56" i="65"/>
  <c r="U57" i="65"/>
  <c r="U58" i="65"/>
  <c r="U59" i="65"/>
  <c r="P59" i="65" s="1"/>
  <c r="U60" i="65"/>
  <c r="U61" i="65"/>
  <c r="U62" i="65"/>
  <c r="U63" i="65"/>
  <c r="U64" i="65"/>
  <c r="U65" i="65"/>
  <c r="U66" i="65"/>
  <c r="U67" i="65"/>
  <c r="P57" i="65" l="1"/>
  <c r="AB48" i="65"/>
  <c r="AD48" i="65"/>
  <c r="AB50" i="65"/>
  <c r="P63" i="65"/>
  <c r="AB54" i="65"/>
  <c r="P66" i="65"/>
  <c r="AB57" i="65"/>
  <c r="AD57" i="65"/>
  <c r="P62" i="65"/>
  <c r="AB53" i="65"/>
  <c r="P58" i="65"/>
  <c r="AB49" i="65"/>
  <c r="AD49" i="65"/>
  <c r="P56" i="65"/>
  <c r="P61" i="65"/>
  <c r="AB52" i="65"/>
  <c r="P67" i="65"/>
  <c r="AB58" i="65"/>
  <c r="AD58" i="65"/>
  <c r="P65" i="65"/>
  <c r="AB56" i="65"/>
  <c r="AD56" i="65"/>
  <c r="P64" i="65"/>
  <c r="AB55" i="65"/>
  <c r="P60" i="65"/>
  <c r="AB51" i="65"/>
  <c r="P68" i="65" l="1"/>
  <c r="R68" i="65" s="1"/>
  <c r="AF59" i="65"/>
  <c r="AF60" i="65" s="1"/>
  <c r="S46" i="64"/>
  <c r="EJ27" i="64"/>
  <c r="EO27" i="64" s="1"/>
  <c r="S27" i="64" s="1"/>
  <c r="D58" i="64"/>
  <c r="S42" i="64" s="1"/>
  <c r="F47" i="64" l="1"/>
  <c r="F48" i="64"/>
  <c r="H7" i="62" a="1"/>
  <c r="H7" i="62" s="1"/>
  <c r="I7" i="62" s="1"/>
  <c r="W42" i="64"/>
  <c r="W46" i="64"/>
  <c r="W48" i="64" s="1"/>
  <c r="X46" i="64"/>
  <c r="X48" i="64" s="1"/>
  <c r="V46" i="64"/>
  <c r="H18" i="62" a="1"/>
  <c r="H18" i="62" s="1"/>
  <c r="S58" i="64"/>
  <c r="AX7" i="65"/>
  <c r="AY7" i="65" s="1"/>
  <c r="R69" i="65"/>
  <c r="AT8" i="65"/>
  <c r="AU8" i="65" s="1"/>
  <c r="D18" i="62" a="1"/>
  <c r="D18" i="62" s="1"/>
  <c r="EJ38" i="64"/>
  <c r="EO38" i="64" s="1"/>
  <c r="D59" i="64"/>
  <c r="S59" i="64" s="1"/>
  <c r="EJ31" i="64"/>
  <c r="X42" i="64" l="1"/>
  <c r="X43" i="64" s="1"/>
  <c r="F44" i="64"/>
  <c r="W44" i="64"/>
  <c r="W43" i="64"/>
  <c r="F43" i="64"/>
  <c r="D7" i="62" a="1"/>
  <c r="D7" i="62" s="1"/>
  <c r="E7" i="62" s="1"/>
  <c r="V47" i="64"/>
  <c r="X47" i="64"/>
  <c r="W47" i="64"/>
  <c r="V31" i="64"/>
  <c r="V32" i="64" s="1"/>
  <c r="W31" i="64"/>
  <c r="V48" i="64"/>
  <c r="V42" i="64"/>
  <c r="V43" i="64" s="1"/>
  <c r="AX8" i="65"/>
  <c r="AY8" i="65" s="1"/>
  <c r="EJ42" i="64"/>
  <c r="EO42" i="64" s="1"/>
  <c r="EO31" i="64"/>
  <c r="EJ46" i="64"/>
  <c r="EO46" i="64" s="1"/>
  <c r="X44" i="64" l="1"/>
  <c r="X33" i="64"/>
  <c r="X32" i="64"/>
  <c r="W33" i="64"/>
  <c r="W32" i="64"/>
  <c r="V33" i="64"/>
  <c r="V44" i="64"/>
  <c r="F18" i="62" a="1"/>
  <c r="F18" i="62" s="1"/>
  <c r="S31"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tc={19081C3B-27FD-4511-AC1E-8402A6BFD9DE}</author>
  </authors>
  <commentList>
    <comment ref="B19" authorId="0" shapeId="0" xr:uid="{19081C3B-27FD-4511-AC1E-8402A6BFD9DE}">
      <text>
        <t>[Threaded comment]
Your version of Excel allows you to read this threaded comment; however, any edits to it will get removed if the file is opened in a newer version of Excel. Learn more: https://go.microsoft.com/fwlink/?linkid=870924
Comment:
    Joe DTE Rate Changes and Solar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tc={A9D26999-2AD5-4EE4-B059-E78BA5921554}</author>
    <author>tc={0690BFED-77C5-4CBD-88AA-D2F9FADC368C}</author>
    <author>tc={9B67D3CC-0533-4C1A-B54D-D4E75360C29F}</author>
    <author>tc={014251F3-DE69-457B-A856-2DC17DBD8E32}</author>
  </authors>
  <commentList>
    <comment ref="K2" authorId="0" shapeId="0" xr:uid="{A9D26999-2AD5-4EE4-B059-E78BA5921554}">
      <text>
        <t>[Threaded comment]
Your version of Excel allows you to read this threaded comment; however, any edits to it will get removed if the file is opened in a newer version of Excel. Learn more: https://go.microsoft.com/fwlink/?linkid=870924
Comment:
    Green Text = based on data from energy audits. 
Red Text = assumptions</t>
      </text>
    </comment>
    <comment ref="F35" authorId="1" shapeId="0" xr:uid="{0690BFED-77C5-4CBD-88AA-D2F9FADC368C}">
      <text>
        <t>[Threaded comment]
Your version of Excel allows you to read this threaded comment; however, any edits to it will get removed if the file is opened in a newer version of Excel. Learn more: https://go.microsoft.com/fwlink/?linkid=870924
Comment:
    Thea - DTE/Utility provided information, general estimates</t>
      </text>
    </comment>
    <comment ref="H35" authorId="2" shapeId="0" xr:uid="{9B67D3CC-0533-4C1A-B54D-D4E75360C29F}">
      <text>
        <t>[Threaded comment]
Your version of Excel allows you to read this threaded comment; however, any edits to it will get removed if the file is opened in a newer version of Excel. Learn more: https://go.microsoft.com/fwlink/?linkid=870924
Comment:
    Joe - DTE Solar Outflow Values</t>
      </text>
    </comment>
    <comment ref="D42" authorId="3" shapeId="0" xr:uid="{014251F3-DE69-457B-A856-2DC17DBD8E32}">
      <text>
        <t>[Threaded comment]
Your version of Excel allows you to read this threaded comment; however, any edits to it will get removed if the file is opened in a newer version of Excel. Learn more: https://go.microsoft.com/fwlink/?linkid=870924
Comment:
    Thea - DTE Electricity Emissions Estimate and Forecast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tc={8405E5EE-FFDD-4AEB-BD09-DDB56919A7EF}</author>
  </authors>
  <commentList>
    <comment ref="A22" authorId="0" shapeId="0" xr:uid="{8405E5EE-FFDD-4AEB-BD09-DDB56919A7EF}">
      <text>
        <t>[Threaded comment]
Your version of Excel allows you to read this threaded comment; however, any edits to it will get removed if the file is opened in a newer version of Excel. Learn more: https://go.microsoft.com/fwlink/?linkid=870924
Comment:
    Replace with values from the geothermal model switch</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tc={81334148-2064-45CA-832E-750EF1C0DC4C}</author>
  </authors>
  <commentList>
    <comment ref="B1" authorId="0" shapeId="0" xr:uid="{81334148-2064-45CA-832E-750EF1C0DC4C}">
      <text>
        <t>[Threaded comment]
Your version of Excel allows you to read this threaded comment; however, any edits to it will get removed if the file is opened in a newer version of Excel. Learn more: https://go.microsoft.com/fwlink/?linkid=870924
Comment:
    PV Watts?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tc={5472C80A-F6D9-4B80-BB9A-B8EB1208D875}</author>
    <author>tc={E6AC36B8-68B2-4165-91EA-81A84ECDA491}</author>
    <author>tc={CB630906-DC47-421D-8037-24445D7F4409}</author>
    <author>tc={F2D30CEF-B8D2-4891-BB64-A0292A4FBE6E}</author>
    <author>tc={239061C8-D6E2-4F23-BE49-E928A3720898}</author>
    <author>tc={44A0F05D-A759-46C5-8423-75617B248B5A}</author>
    <author>tc={B2625BB5-22B2-4F63-8572-6CC80B17FCB1}</author>
    <author>tc={1AEBB4B9-1BC3-48BF-99E4-6F3C0DD00184}</author>
    <author>tc={564379AE-4E57-4E7C-98DD-BE059B9D3A31}</author>
  </authors>
  <commentList>
    <comment ref="AB2" authorId="0" shapeId="0" xr:uid="{5472C80A-F6D9-4B80-BB9A-B8EB1208D875}">
      <text>
        <t>[Threaded comment]
Your version of Excel allows you to read this threaded comment; however, any edits to it will get removed if the file is opened in a newer version of Excel. Learn more: https://go.microsoft.com/fwlink/?linkid=870924
Comment:
    This includes the pump energy required by the geothermal field, not the homeowner pumping energy</t>
      </text>
    </comment>
    <comment ref="P7" authorId="1" shapeId="0" xr:uid="{E6AC36B8-68B2-4165-91EA-81A84ECDA491}">
      <text>
        <t>[Threaded comment]
Your version of Excel allows you to read this threaded comment; however, any edits to it will get removed if the file is opened in a newer version of Excel. Learn more: https://go.microsoft.com/fwlink/?linkid=870924
Comment:
    From CC Full Report</t>
      </text>
    </comment>
    <comment ref="R17" authorId="2" shapeId="0" xr:uid="{CB630906-DC47-421D-8037-24445D7F4409}">
      <text>
        <t>[Threaded comment]
Your version of Excel allows you to read this threaded comment; however, any edits to it will get removed if the file is opened in a newer version of Excel. Learn more: https://go.microsoft.com/fwlink/?linkid=870924
Comment:
    Hook up RTU to Geo, Electric Reheat
Reply:
    Cop will be 10-15% lower than the homes</t>
      </text>
    </comment>
    <comment ref="T17" authorId="3" shapeId="0" xr:uid="{F2D30CEF-B8D2-4891-BB64-A0292A4FBE6E}">
      <text>
        <t>[Threaded comment]
Your version of Excel allows you to read this threaded comment; however, any edits to it will get removed if the file is opened in a newer version of Excel. Learn more: https://go.microsoft.com/fwlink/?linkid=870924
Comment:
    Flips okay to geo using elem</t>
      </text>
    </comment>
    <comment ref="F35" authorId="4" shapeId="0" xr:uid="{239061C8-D6E2-4F23-BE49-E928A3720898}">
      <text>
        <t>[Threaded comment]
Your version of Excel allows you to read this threaded comment; however, any edits to it will get removed if the file is opened in a newer version of Excel. Learn more: https://go.microsoft.com/fwlink/?linkid=870924
Comment:
    Thea - DTE Electricity Emissions Estimate and Forecast</t>
      </text>
    </comment>
    <comment ref="J35" authorId="5" shapeId="0" xr:uid="{44A0F05D-A759-46C5-8423-75617B248B5A}">
      <text>
        <t>[Threaded comment]
Your version of Excel allows you to read this threaded comment; however, any edits to it will get removed if the file is opened in a newer version of Excel. Learn more: https://go.microsoft.com/fwlink/?linkid=870924
Comment:
    EIA 2022</t>
      </text>
    </comment>
    <comment ref="F36" authorId="6" shapeId="0" xr:uid="{B2625BB5-22B2-4F63-8572-6CC80B17FCB1}">
      <text>
        <t>[Threaded comment]
Your version of Excel allows you to read this threaded comment; however, any edits to it will get removed if the file is opened in a newer version of Excel. Learn more: https://go.microsoft.com/fwlink/?linkid=870924
Comment:
    Thea - DTE Electricity Emissions Estimate and Forecast</t>
      </text>
    </comment>
    <comment ref="J36" authorId="7" shapeId="0" xr:uid="{1AEBB4B9-1BC3-48BF-99E4-6F3C0DD00184}">
      <text>
        <t>[Threaded comment]
Your version of Excel allows you to read this threaded comment; however, any edits to it will get removed if the file is opened in a newer version of Excel. Learn more: https://go.microsoft.com/fwlink/?linkid=870924
Comment:
    EIA 2023</t>
      </text>
    </comment>
    <comment ref="D42" authorId="8" shapeId="0" xr:uid="{564379AE-4E57-4E7C-98DD-BE059B9D3A31}">
      <text>
        <t>[Threaded comment]
Your version of Excel allows you to read this threaded comment; however, any edits to it will get removed if the file is opened in a newer version of Excel. Learn more: https://go.microsoft.com/fwlink/?linkid=870924
Comment:
    Thea - DTE Electricity Emissions Estimate and Forecast
Reply:
    1216.4 lbs/MWH on power profile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tc={7BDEFF7F-99BB-4477-BAEE-86F286D30A68}</author>
    <author>tc={B7C0B23B-7F18-40EA-8A3D-B783B83CC649}</author>
    <author>tc={E6000919-D722-4B48-A13D-3E479092AA00}</author>
    <author>tc={16734F81-C8DE-4E16-A12A-6ED1F4D633E2}</author>
    <author>tc={D1EE2406-CE4D-42F7-83F6-E20CABC5CA36}</author>
    <author>tc={E2DD1AAF-BA61-4467-B954-E744C0B81DD5}</author>
    <author>tc={FD82D5B0-438F-4E81-BFEE-3241637B1A0E}</author>
    <author>tc={FBE5E833-DE41-423E-ADE8-C3C33B1CCA0D}</author>
    <author>tc={C733784E-D746-4BC7-8183-32EBDD9A6352}</author>
    <author>tc={FF9F11AF-2C7D-4FF5-BDA6-16EB1B184945}</author>
    <author>tc={E996B4B1-793D-4BE8-9891-1B482434B3AB}</author>
    <author>tc={51F1106F-9F2B-461E-8FE9-E9EFC951ECC0}</author>
    <author>tc={A72C6D1E-CB99-4181-94DB-28046BE33708}</author>
    <author>tc={F0610CFF-004E-4435-8D1B-2450A678B28F}</author>
  </authors>
  <commentList>
    <comment ref="CE2" authorId="0" shapeId="0" xr:uid="{7BDEFF7F-99BB-4477-BAEE-86F286D30A68}">
      <text>
        <t>[Threaded comment]
Your version of Excel allows you to read this threaded comment; however, any edits to it will get removed if the file is opened in a newer version of Excel. Learn more: https://go.microsoft.com/fwlink/?linkid=870924
Comment:
    The heating, cooling, fans, and pumps were scaled using the ratios between the Existing and Geo models for the Elementary School</t>
      </text>
    </comment>
    <comment ref="CU2" authorId="1" shapeId="0" xr:uid="{B7C0B23B-7F18-40EA-8A3D-B783B83CC649}">
      <text>
        <t>[Threaded comment]
Your version of Excel allows you to read this threaded comment; however, any edits to it will get removed if the file is opened in a newer version of Excel. Learn more: https://go.microsoft.com/fwlink/?linkid=870924
Comment:
    The heating, cooling, fans, and pumps were scaled using the ratios between the Existing and Geo models for the Elementary School</t>
      </text>
    </comment>
    <comment ref="DK2" authorId="2" shapeId="0" xr:uid="{E6000919-D722-4B48-A13D-3E479092AA00}">
      <text>
        <t>[Threaded comment]
Your version of Excel allows you to read this threaded comment; however, any edits to it will get removed if the file is opened in a newer version of Excel. Learn more: https://go.microsoft.com/fwlink/?linkid=870924
Comment:
    The heating, cooling, fans, and pumps were scaled using the ratios between the Existing and Geo models for the Elementary School</t>
      </text>
    </comment>
    <comment ref="EA2" authorId="3" shapeId="0" xr:uid="{16734F81-C8DE-4E16-A12A-6ED1F4D633E2}">
      <text>
        <t>[Threaded comment]
Your version of Excel allows you to read this threaded comment; however, any edits to it will get removed if the file is opened in a newer version of Excel. Learn more: https://go.microsoft.com/fwlink/?linkid=870924
Comment:
    The heating, cooling, fans, and pumps were scaled using the ratios between the Existing and Geo models for the Elementary School</t>
      </text>
    </comment>
    <comment ref="AJ11" authorId="4" shapeId="0" xr:uid="{D1EE2406-CE4D-42F7-83F6-E20CABC5CA36}">
      <text>
        <t>[Threaded comment]
Your version of Excel allows you to read this threaded comment; however, any edits to it will get removed if the file is opened in a newer version of Excel. Learn more: https://go.microsoft.com/fwlink/?linkid=870924
Comment:
    Buffer of 25%</t>
      </text>
    </comment>
    <comment ref="AZ11" authorId="5" shapeId="0" xr:uid="{E2DD1AAF-BA61-4467-B954-E744C0B81DD5}">
      <text>
        <t>[Threaded comment]
Your version of Excel allows you to read this threaded comment; however, any edits to it will get removed if the file is opened in a newer version of Excel. Learn more: https://go.microsoft.com/fwlink/?linkid=870924
Comment:
    Buffer of 25%</t>
      </text>
    </comment>
    <comment ref="BP11" authorId="6" shapeId="0" xr:uid="{FD82D5B0-438F-4E81-BFEE-3241637B1A0E}">
      <text>
        <t>[Threaded comment]
Your version of Excel allows you to read this threaded comment; however, any edits to it will get removed if the file is opened in a newer version of Excel. Learn more: https://go.microsoft.com/fwlink/?linkid=870924
Comment:
    Buffer of 25%</t>
      </text>
    </comment>
    <comment ref="CF11" authorId="7" shapeId="0" xr:uid="{FBE5E833-DE41-423E-ADE8-C3C33B1CCA0D}">
      <text>
        <t>[Threaded comment]
Your version of Excel allows you to read this threaded comment; however, any edits to it will get removed if the file is opened in a newer version of Excel. Learn more: https://go.microsoft.com/fwlink/?linkid=870924
Comment:
    Buffer of 25%</t>
      </text>
    </comment>
    <comment ref="CV11" authorId="8" shapeId="0" xr:uid="{C733784E-D746-4BC7-8183-32EBDD9A6352}">
      <text>
        <t>[Threaded comment]
Your version of Excel allows you to read this threaded comment; however, any edits to it will get removed if the file is opened in a newer version of Excel. Learn more: https://go.microsoft.com/fwlink/?linkid=870924
Comment:
    Buffer of 25%</t>
      </text>
    </comment>
    <comment ref="DL11" authorId="9" shapeId="0" xr:uid="{FF9F11AF-2C7D-4FF5-BDA6-16EB1B184945}">
      <text>
        <t>[Threaded comment]
Your version of Excel allows you to read this threaded comment; however, any edits to it will get removed if the file is opened in a newer version of Excel. Learn more: https://go.microsoft.com/fwlink/?linkid=870924
Comment:
    Buffer of 25%</t>
      </text>
    </comment>
    <comment ref="EB11" authorId="10" shapeId="0" xr:uid="{E996B4B1-793D-4BE8-9891-1B482434B3AB}">
      <text>
        <t>[Threaded comment]
Your version of Excel allows you to read this threaded comment; however, any edits to it will get removed if the file is opened in a newer version of Excel. Learn more: https://go.microsoft.com/fwlink/?linkid=870924
Comment:
    Buffer of 25%</t>
      </text>
    </comment>
    <comment ref="EJ11" authorId="11" shapeId="0" xr:uid="{51F1106F-9F2B-461E-8FE9-E9EFC951ECC0}">
      <text>
        <t>[Threaded comment]
Your version of Excel allows you to read this threaded comment; however, any edits to it will get removed if the file is opened in a newer version of Excel. Learn more: https://go.microsoft.com/fwlink/?linkid=870924
Comment:
    Buffer of 25%</t>
      </text>
    </comment>
    <comment ref="Y46" authorId="12" shapeId="0" xr:uid="{A72C6D1E-CB99-4181-94DB-28046BE33708}">
      <text>
        <t>[Threaded comment]
Your version of Excel allows you to read this threaded comment; however, any edits to it will get removed if the file is opened in a newer version of Excel. Learn more: https://go.microsoft.com/fwlink/?linkid=870924
Comment:
    Pulled from Carbon Grid Emissions spreadsheet</t>
      </text>
    </comment>
    <comment ref="B52" authorId="13" shapeId="0" xr:uid="{F0610CFF-004E-4435-8D1B-2450A678B28F}">
      <text>
        <t>[Threaded comment]
Your version of Excel allows you to read this threaded comment; however, any edits to it will get removed if the file is opened in a newer version of Excel. Learn more: https://go.microsoft.com/fwlink/?linkid=870924
Comment:
    Pumps have a buffer of 25% for contingency</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<sst xmlns="http://schemas.openxmlformats.org/spreadsheetml/2006/main" count="3538" uniqueCount="573">
  <si>
    <t>System/Plant</t>
  </si>
  <si>
    <t>Energy Cost</t>
  </si>
  <si>
    <t>EUI</t>
  </si>
  <si>
    <t>CO2</t>
  </si>
  <si>
    <t>Climate Zone: 5A</t>
  </si>
  <si>
    <t>Baseline</t>
  </si>
  <si>
    <t>Proposed: 1</t>
  </si>
  <si>
    <t>Proposed: 2</t>
  </si>
  <si>
    <t>Proposed: 3</t>
  </si>
  <si>
    <t>Proposed: 4</t>
  </si>
  <si>
    <t>Proposed: 5</t>
  </si>
  <si>
    <t>Proposed: 6</t>
  </si>
  <si>
    <t>Proposed: 7</t>
  </si>
  <si>
    <t>Proposed: 8</t>
  </si>
  <si>
    <t>***Other Alternatives are Hidden</t>
  </si>
  <si>
    <t>Index</t>
  </si>
  <si>
    <t>($/yr)</t>
  </si>
  <si>
    <t>% Savings</t>
  </si>
  <si>
    <t>(kBtu/sqft/yr)</t>
  </si>
  <si>
    <t>(metric tons)</t>
  </si>
  <si>
    <t>Envelope Construction</t>
  </si>
  <si>
    <t>-</t>
  </si>
  <si>
    <t>Exterior Walls</t>
  </si>
  <si>
    <t>90.1-10: U-0.065</t>
  </si>
  <si>
    <t>Roof</t>
  </si>
  <si>
    <t>90.1-10: U-0.048</t>
  </si>
  <si>
    <t>Slab on Grade</t>
  </si>
  <si>
    <t>F-0.73</t>
  </si>
  <si>
    <t>F-0.74</t>
  </si>
  <si>
    <t>F-0.75</t>
  </si>
  <si>
    <t>F-0.76</t>
  </si>
  <si>
    <t>F-0.77</t>
  </si>
  <si>
    <t xml:space="preserve">Windows </t>
  </si>
  <si>
    <t>90.1-10: U-0.45; SHGC: 0.40</t>
  </si>
  <si>
    <t>90.1-10: U-0.45; SHGC: 0.41</t>
  </si>
  <si>
    <t>90.1-10: U-0.45; SHGC: 0.42</t>
  </si>
  <si>
    <t>90.1-10: U-0.45; SHGC: 0.43</t>
  </si>
  <si>
    <t>90.1-10: U-0.45; SHGC: 0.44</t>
  </si>
  <si>
    <t>Window to Wall Ratio</t>
  </si>
  <si>
    <t>Electrical Systems</t>
  </si>
  <si>
    <t>Lighting (W/sqft)</t>
  </si>
  <si>
    <t>Receptacle Power (W/sqft)</t>
  </si>
  <si>
    <t>Mechanical and Plumbing Systems</t>
  </si>
  <si>
    <t>HVAC System Types</t>
  </si>
  <si>
    <t>System 5
Sytem 10
System 7</t>
  </si>
  <si>
    <t>System 5
Sytem 10
System 8</t>
  </si>
  <si>
    <t>System 5
Sytem 10
System 9</t>
  </si>
  <si>
    <t>System 5
Sytem 10
System 10</t>
  </si>
  <si>
    <t>System 5
Sytem 10
System 11</t>
  </si>
  <si>
    <t>General Building Information</t>
  </si>
  <si>
    <t>Cooling Performance</t>
  </si>
  <si>
    <t>Air Cooled Unitary Dx - 9.5 EER</t>
  </si>
  <si>
    <t xml:space="preserve">Project Location </t>
  </si>
  <si>
    <t>CITY</t>
  </si>
  <si>
    <t>Heating Performance</t>
  </si>
  <si>
    <t>Hot Water Boiler - 80%</t>
  </si>
  <si>
    <t>Facility Use Type</t>
  </si>
  <si>
    <t>TYPE</t>
  </si>
  <si>
    <t>Domestic Water Heating</t>
  </si>
  <si>
    <t>Gas Water Heater - 80%</t>
  </si>
  <si>
    <r>
      <t>Floor Area in Energy Model (ft</t>
    </r>
    <r>
      <rPr>
        <vertAlign val="superscript"/>
        <sz val="10"/>
        <color rgb="FF000000"/>
        <rFont val="Century Gothic"/>
        <family val="2"/>
      </rPr>
      <t>2</t>
    </r>
    <r>
      <rPr>
        <sz val="10"/>
        <color rgb="FF000000"/>
        <rFont val="Century Gothic"/>
        <family val="2"/>
      </rPr>
      <t>)</t>
    </r>
  </si>
  <si>
    <t>Other</t>
  </si>
  <si>
    <t>Total Number of Floors</t>
  </si>
  <si>
    <t>#</t>
  </si>
  <si>
    <t>Schedule</t>
  </si>
  <si>
    <t>M-F: 7 am - 7 pm, Sat: 8 am - 12 pm, Sunday Closed
12 months per year</t>
  </si>
  <si>
    <t>Utility Rates: EIA State Average Rates</t>
  </si>
  <si>
    <t>Electricity</t>
  </si>
  <si>
    <t>$/kWh</t>
  </si>
  <si>
    <t>IMEG INTERNAL MATRIX</t>
  </si>
  <si>
    <t>Natural Gas</t>
  </si>
  <si>
    <t>$/Therm</t>
  </si>
  <si>
    <t>Total outside air (cfm)</t>
  </si>
  <si>
    <t>Heat Recovery</t>
  </si>
  <si>
    <t>Utility Rates</t>
  </si>
  <si>
    <t>Economizer</t>
  </si>
  <si>
    <t>Electric</t>
  </si>
  <si>
    <t>$/kBtu</t>
  </si>
  <si>
    <t>/kWh</t>
  </si>
  <si>
    <t>Gas</t>
  </si>
  <si>
    <t>/therms</t>
  </si>
  <si>
    <t>District Htg</t>
  </si>
  <si>
    <t>District Clg</t>
  </si>
  <si>
    <t>Add Fuel</t>
  </si>
  <si>
    <t>Carbon Emissions</t>
  </si>
  <si>
    <t>lbs/MWH</t>
  </si>
  <si>
    <t>tons of CO2/kBtu</t>
  </si>
  <si>
    <t/>
  </si>
  <si>
    <t>End Use Selection</t>
  </si>
  <si>
    <t>Lighting</t>
  </si>
  <si>
    <t>Heating</t>
  </si>
  <si>
    <t>Cooling</t>
  </si>
  <si>
    <t>Pump</t>
  </si>
  <si>
    <t>Fan</t>
  </si>
  <si>
    <t>Recep</t>
  </si>
  <si>
    <t>DHW</t>
  </si>
  <si>
    <t>Electricity (kWh)</t>
  </si>
  <si>
    <t>Gas (Mbtu)</t>
  </si>
  <si>
    <t>District Cooling (Mbtu)</t>
  </si>
  <si>
    <t>District Heating (Mbtu)</t>
  </si>
  <si>
    <t>Other Utilities (Mbtu)</t>
  </si>
  <si>
    <t>x</t>
  </si>
  <si>
    <t>Fans</t>
  </si>
  <si>
    <t>Pumps</t>
  </si>
  <si>
    <t>Heat Rejection</t>
  </si>
  <si>
    <t>Humidification</t>
  </si>
  <si>
    <t>HVAC</t>
  </si>
  <si>
    <t>Water Systems</t>
  </si>
  <si>
    <t>Interior Lighting</t>
  </si>
  <si>
    <t>Exterior Lighting</t>
  </si>
  <si>
    <t>Interior Equipment</t>
  </si>
  <si>
    <t>Exterior Equipment</t>
  </si>
  <si>
    <t>Refrigeration</t>
  </si>
  <si>
    <t>Non-HVAC</t>
  </si>
  <si>
    <t>Generators</t>
  </si>
  <si>
    <t>Site Generation</t>
  </si>
  <si>
    <t>Grand Total</t>
  </si>
  <si>
    <t>Receptacles</t>
  </si>
  <si>
    <t>kBtu</t>
  </si>
  <si>
    <t>Savings:</t>
  </si>
  <si>
    <t>Cost</t>
  </si>
  <si>
    <t>Carbon</t>
  </si>
  <si>
    <t>EUI End Use Breakdown</t>
  </si>
  <si>
    <t>Energy Category</t>
  </si>
  <si>
    <t xml:space="preserve">Savings </t>
  </si>
  <si>
    <t>Total:</t>
  </si>
  <si>
    <t>Energy Savings:</t>
  </si>
  <si>
    <t>Energy Cost Breakdown</t>
  </si>
  <si>
    <t>Cost Savings:</t>
  </si>
  <si>
    <t>Elevate Data</t>
  </si>
  <si>
    <t>Majority of the measured homes are 860 sf</t>
  </si>
  <si>
    <t>Snugg Pro Base</t>
  </si>
  <si>
    <t>Snugg Pro Improved</t>
  </si>
  <si>
    <t>Wall R-Value</t>
  </si>
  <si>
    <t>Heating Setpoints</t>
  </si>
  <si>
    <t>ach input</t>
  </si>
  <si>
    <t>https://efficiencymatrix.com/air-leakage-unit-conversion/</t>
  </si>
  <si>
    <t>Roof R-Value</t>
  </si>
  <si>
    <t>Cooling Setpoints</t>
  </si>
  <si>
    <t>Total EUI</t>
  </si>
  <si>
    <t>NREL Data</t>
  </si>
  <si>
    <t>Michigan EUI Breakdown</t>
  </si>
  <si>
    <t>Process</t>
  </si>
  <si>
    <t>Plug</t>
  </si>
  <si>
    <t>EIA</t>
  </si>
  <si>
    <t>https://experience.arcgis.com/experience/cbf6875974554a74823232f84f563253</t>
  </si>
  <si>
    <t>DOE</t>
  </si>
  <si>
    <t>https://www.energycodes.gov/prototype-building-models#Residential</t>
  </si>
  <si>
    <t>5 MCF</t>
  </si>
  <si>
    <t>Different Scenarios</t>
  </si>
  <si>
    <t>Worst One</t>
  </si>
  <si>
    <t>Bryant Neighborhood, Ann Arbor, Michigan</t>
  </si>
  <si>
    <t>Energy Model</t>
  </si>
  <si>
    <t>Geothemal</t>
  </si>
  <si>
    <t>262 households</t>
  </si>
  <si>
    <t>City Park</t>
  </si>
  <si>
    <t>Community Center</t>
  </si>
  <si>
    <t>School Grassy Area</t>
  </si>
  <si>
    <t>Public School</t>
  </si>
  <si>
    <t>County Mental Health Facility Parking Lot</t>
  </si>
  <si>
    <t>County Mental Health Facility</t>
  </si>
  <si>
    <t>City's Public Works Open Land</t>
  </si>
  <si>
    <t>City's Public Works Facility</t>
  </si>
  <si>
    <t>Sidewalks</t>
  </si>
  <si>
    <t>lots of courts</t>
  </si>
  <si>
    <t>1000-1500 ton system</t>
  </si>
  <si>
    <t>1 borehole = 3tons</t>
  </si>
  <si>
    <t>bores</t>
  </si>
  <si>
    <t>500 sf = 1 borehold</t>
  </si>
  <si>
    <t>sf of space</t>
  </si>
  <si>
    <t>acres</t>
  </si>
  <si>
    <t>Need a central space for the tank building</t>
  </si>
  <si>
    <t>could use as an educational building</t>
  </si>
  <si>
    <t>if the field is all over the place, wouldn't that make maintenance hard? But then think about resilience</t>
  </si>
  <si>
    <t>5GDHC</t>
  </si>
  <si>
    <t>5th Generation District Heating and Cooling System</t>
  </si>
  <si>
    <t>Gen 4</t>
  </si>
  <si>
    <t>Gen 5</t>
  </si>
  <si>
    <t>Baseline Energy Model of exisitng buildings</t>
  </si>
  <si>
    <t>we have data to go off of</t>
  </si>
  <si>
    <t>Proposed Energy Model with improvements</t>
  </si>
  <si>
    <t>geothermal or weatherization or hybrid</t>
  </si>
  <si>
    <t>Could model the homes and just multiply by 262</t>
  </si>
  <si>
    <t>Zone multiplier</t>
  </si>
  <si>
    <t>Model the other commercial buildings seperately</t>
  </si>
  <si>
    <t xml:space="preserve">What do we want as an end product? </t>
  </si>
  <si>
    <t>hourly load profile data?</t>
  </si>
  <si>
    <t>provide these profiles</t>
  </si>
  <si>
    <t>our geothermal load profiles will be sent to DOE</t>
  </si>
  <si>
    <t xml:space="preserve">will likely have to explain how we modeled it </t>
  </si>
  <si>
    <t>similar buildings can be grouped</t>
  </si>
  <si>
    <t xml:space="preserve">zone multiplied </t>
  </si>
  <si>
    <t>setpoints</t>
  </si>
  <si>
    <t>system types</t>
  </si>
  <si>
    <t>weatherization level</t>
  </si>
  <si>
    <t>maybe depends on our data and how it's looking</t>
  </si>
  <si>
    <t>internal and external loads are same</t>
  </si>
  <si>
    <t>setpoint schedules</t>
  </si>
  <si>
    <t>occupancy schedules</t>
  </si>
  <si>
    <t>throw them into a power bi</t>
  </si>
  <si>
    <t>DHW is currently gas, how do we do geothermal DHW?</t>
  </si>
  <si>
    <t>Are there any resources that they plan to make available to the project?</t>
  </si>
  <si>
    <t>Want to reach NREL for residential energy model template?</t>
  </si>
  <si>
    <t>ResStock</t>
  </si>
  <si>
    <t>data nationally</t>
  </si>
  <si>
    <t>this looks good I think.  the narrative needs to show progress - not any type of verification of final results.  I am thinking if we can share the following, we would be in good shape</t>
  </si>
  <si>
    <t>1. scatter plot/line charts/power bi of the existing home energy use (chuck can do the commercial buildings)</t>
  </si>
  <si>
    <t>1. screenshot of the database from Elevate</t>
  </si>
  <si>
    <t>2. Indication of energy model progress (some combination of)</t>
  </si>
  <si>
    <t>1. screenshot of building geometry/setup in design builder</t>
  </si>
  <si>
    <t>2. plots showing relative alignment with some segment of the existing home energy usage</t>
  </si>
  <si>
    <t>3. Key inputs matrix - what is driving the model at this point</t>
  </si>
  <si>
    <t>start the narrative?</t>
  </si>
  <si>
    <t>first quarter (oct-end of dec)</t>
  </si>
  <si>
    <t>the em is owed in month 4</t>
  </si>
  <si>
    <t>NREL Research</t>
  </si>
  <si>
    <t>Look for schedules</t>
  </si>
  <si>
    <t>DHW, Lighting, Plug</t>
  </si>
  <si>
    <t>Setpoints</t>
  </si>
  <si>
    <t>Averages</t>
  </si>
  <si>
    <t>EUI breakdown of Michigan</t>
  </si>
  <si>
    <t>Next steps</t>
  </si>
  <si>
    <t>Align DB results with excel</t>
  </si>
  <si>
    <t>Look at NREL packages and the results from that</t>
  </si>
  <si>
    <t>Prep for the NREL Q4 ComGeo</t>
  </si>
  <si>
    <t>Add generic background information?</t>
  </si>
  <si>
    <t>20 minute – ComGeo Coalition / Team representative reviews project data they plan to upload to the DOE Geothermal Data Repository (GDR) and in what format they plan to upload it. GDR data curators will be available for the first 20 minutes of the call to assist with any questions about the type of data that should be uploaded and in what format. References to the relevant project data may be found in the Statement of Project Objectives (SOPO).</t>
  </si>
  <si>
    <t>ELEVATE Energy Audits</t>
  </si>
  <si>
    <t>Do they want the power bi?</t>
  </si>
  <si>
    <t>DTE Utility Data</t>
  </si>
  <si>
    <t>Do they want the raw data or the editted data?</t>
  </si>
  <si>
    <t>Do they want this benchmarking material?</t>
  </si>
  <si>
    <t>20 minute – ComGeo Team reviews information they plan to include in preliminary case studies and asks any questions they may have.</t>
  </si>
  <si>
    <r>
      <t xml:space="preserve">20 minutes – ComGeo Teams and GTO discuss the </t>
    </r>
    <r>
      <rPr>
        <b/>
        <sz val="11"/>
        <color indexed="8"/>
        <rFont val="Aptos"/>
        <family val="2"/>
      </rPr>
      <t>Q3 report highlights or concerns</t>
    </r>
    <r>
      <rPr>
        <sz val="11"/>
        <color indexed="8"/>
        <rFont val="Aptos"/>
        <family val="2"/>
      </rPr>
      <t>.</t>
    </r>
  </si>
  <si>
    <t>Worst - Existing</t>
  </si>
  <si>
    <t>Mid - Existing</t>
  </si>
  <si>
    <t>Best - Existing</t>
  </si>
  <si>
    <t>DOE Benchmark - Homes</t>
  </si>
  <si>
    <t>Worst - Wx</t>
  </si>
  <si>
    <t>Mid - Wx</t>
  </si>
  <si>
    <t>Best - Wx</t>
  </si>
  <si>
    <t>Worst - Geo</t>
  </si>
  <si>
    <t>Mid - Geo</t>
  </si>
  <si>
    <t xml:space="preserve">Best - Geo </t>
  </si>
  <si>
    <t>Worst - Geo + Wx</t>
  </si>
  <si>
    <t>Mid - Geo + Wx</t>
  </si>
  <si>
    <t>Best - Geo + Wx</t>
  </si>
  <si>
    <t>R-11.5</t>
  </si>
  <si>
    <t>R-11.6</t>
  </si>
  <si>
    <t>R-12</t>
  </si>
  <si>
    <t>ASHRAE 2006</t>
  </si>
  <si>
    <t>R-23.7</t>
  </si>
  <si>
    <t>R-28.6</t>
  </si>
  <si>
    <t>R-37</t>
  </si>
  <si>
    <t>U-0.55, SHGC-0.55</t>
  </si>
  <si>
    <t>2 sides: 20%</t>
  </si>
  <si>
    <t>Infiltration (ach)</t>
  </si>
  <si>
    <t>Lighting (W/sqft) 
(2-3% of EUI)</t>
  </si>
  <si>
    <t>Receptacle Power (W/sqft)
(12-16% of EUI)</t>
  </si>
  <si>
    <t>Process Load (W/sf)</t>
  </si>
  <si>
    <t>Furnace + AC</t>
  </si>
  <si>
    <t>Geothermal HP</t>
  </si>
  <si>
    <t>Air Cooled Unitary Dx - 8.5 EER</t>
  </si>
  <si>
    <t>20 EER, COP 5.8</t>
  </si>
  <si>
    <t>Furnace - 75%</t>
  </si>
  <si>
    <t>Furnace - 80%</t>
  </si>
  <si>
    <t>Furnace  - 85%</t>
  </si>
  <si>
    <t>COP - 4</t>
  </si>
  <si>
    <t>Domestic Water Heating
(9-11% of EUI)</t>
  </si>
  <si>
    <r>
      <rPr>
        <sz val="10"/>
        <color rgb="FFFF0000"/>
        <rFont val="Century Gothic"/>
        <family val="2"/>
      </rPr>
      <t>0.030 gal/sf/day</t>
    </r>
    <r>
      <rPr>
        <sz val="10"/>
        <color indexed="8"/>
        <rFont val="Century Gothic"/>
        <family val="2"/>
      </rPr>
      <t xml:space="preserve">
Gas Water Heater - 80%</t>
    </r>
  </si>
  <si>
    <r>
      <rPr>
        <sz val="10"/>
        <color rgb="FFFF0000"/>
        <rFont val="Century Gothic"/>
        <family val="2"/>
      </rPr>
      <t>0.025 gal/sf/day</t>
    </r>
    <r>
      <rPr>
        <sz val="10"/>
        <color indexed="8"/>
        <rFont val="Century Gothic"/>
        <family val="2"/>
      </rPr>
      <t xml:space="preserve">
Gas Water Heater - 80%</t>
    </r>
  </si>
  <si>
    <r>
      <rPr>
        <sz val="10"/>
        <color rgb="FFFF0000"/>
        <rFont val="Century Gothic"/>
        <family val="2"/>
      </rPr>
      <t>0.02 gal/sf/day</t>
    </r>
    <r>
      <rPr>
        <sz val="10"/>
        <rFont val="Century Gothic"/>
        <family val="2"/>
      </rPr>
      <t xml:space="preserve">
Gas Water Heater - 80%</t>
    </r>
  </si>
  <si>
    <t>Residential Home Schedule</t>
  </si>
  <si>
    <t>H: 71/69, C: 70/70</t>
  </si>
  <si>
    <t>H: 70/68, C: 73/73</t>
  </si>
  <si>
    <t>H: 67/65, C: 74/74</t>
  </si>
  <si>
    <t>Zone Sizing</t>
  </si>
  <si>
    <t>H: 95 F, C: 45 F</t>
  </si>
  <si>
    <t>Ann Arbor</t>
  </si>
  <si>
    <t>Bryant Neighborhood Residential</t>
  </si>
  <si>
    <t>DOE Prototype Building sf</t>
  </si>
  <si>
    <t>Residential</t>
  </si>
  <si>
    <t>Outflow Cost</t>
  </si>
  <si>
    <t>All 262 homes - Existing - TMY3</t>
  </si>
  <si>
    <t>Heating Modeled Peak (tons)</t>
  </si>
  <si>
    <t>Cooling Modeled Peak (tons)</t>
  </si>
  <si>
    <t>All 262 homes - Wx - TMY3</t>
  </si>
  <si>
    <t>Electricity [kBtu]</t>
  </si>
  <si>
    <t>Natural Gas [kBtu]</t>
  </si>
  <si>
    <t>Additional Fuel [kBtu]</t>
  </si>
  <si>
    <t>District Cooling [kBtu]</t>
  </si>
  <si>
    <t>District Heating [kBtu]</t>
  </si>
  <si>
    <t>Water [gal]</t>
  </si>
  <si>
    <t>Total End Uses</t>
  </si>
  <si>
    <t>% Contribution</t>
  </si>
  <si>
    <t>Target</t>
  </si>
  <si>
    <t>Peak Heating</t>
  </si>
  <si>
    <t>Peak Heating (Btu/h)</t>
  </si>
  <si>
    <t>Peak Cooling</t>
  </si>
  <si>
    <t>Peak Cooling (Btu/h)</t>
  </si>
  <si>
    <t>Bryant Neighborhood Geothermal Project - Electric and Gas Usage and Cost</t>
  </si>
  <si>
    <t>Bryant Neighborhood Geothermal Project - Carbon</t>
  </si>
  <si>
    <t>* cost includes consumption fees only, no fixed costs included</t>
  </si>
  <si>
    <t>Energy Consumption</t>
  </si>
  <si>
    <t>262 Residential Homes</t>
  </si>
  <si>
    <t>262 Homes - Existing</t>
  </si>
  <si>
    <t>Existing</t>
  </si>
  <si>
    <t>Total 262 Homes</t>
  </si>
  <si>
    <t>All 262 Homes - Existing Conditions</t>
  </si>
  <si>
    <t>Assumed Utility Costs</t>
  </si>
  <si>
    <t>Assumed Carbon Rates</t>
  </si>
  <si>
    <t>262 Homes - Geo</t>
  </si>
  <si>
    <t>Mid - Elec (Btu)</t>
  </si>
  <si>
    <t>Mid - Gas (Btu)</t>
  </si>
  <si>
    <t>Electricity:Facility [Btu]</t>
  </si>
  <si>
    <t>NaturalGas:Facility [Btu]</t>
  </si>
  <si>
    <t>Total (Btu)</t>
  </si>
  <si>
    <t>Month</t>
  </si>
  <si>
    <t>Existing: Electric [kWh]</t>
  </si>
  <si>
    <t>Existing: Natural Gas [therm]</t>
  </si>
  <si>
    <t>Elec Cost ($)</t>
  </si>
  <si>
    <t>Gas Cost ($)</t>
  </si>
  <si>
    <t>Elec (Tons)</t>
  </si>
  <si>
    <t>Gas (Tons)</t>
  </si>
  <si>
    <t>DTE Electricity Emissions Estimate and Forecast</t>
  </si>
  <si>
    <t>262 Homes - Geo + Solar (Net Metered)</t>
  </si>
  <si>
    <t>262 Homes - Geo + Solar (Utility Buyback)</t>
  </si>
  <si>
    <t xml:space="preserve">Electric - Outflow </t>
  </si>
  <si>
    <t>Geo</t>
  </si>
  <si>
    <t>Single Homes</t>
  </si>
  <si>
    <t>All 262 Homes - Geo Conditions</t>
  </si>
  <si>
    <t>Best - Elec (Btu)</t>
  </si>
  <si>
    <t>Best - Gas (Btu)</t>
  </si>
  <si>
    <t>Worst - Elec (Btu)</t>
  </si>
  <si>
    <t>Geo: Electric [kWh]</t>
  </si>
  <si>
    <t>Geo: Natural Gas [therm]</t>
  </si>
  <si>
    <t>Geo + Solar (1680 MWh)</t>
  </si>
  <si>
    <t>All 262 Homes - Geo + Solar Conditions - Net Metered</t>
  </si>
  <si>
    <t>Solar Ratio</t>
  </si>
  <si>
    <t>Solar production (kWh)</t>
  </si>
  <si>
    <t>All 262 Homes - Geo + Solar Conditions</t>
  </si>
  <si>
    <t>All 262 Homes - Geo + Solar Conditions - Utility Buyback</t>
  </si>
  <si>
    <t>Single Average Residential Home</t>
  </si>
  <si>
    <t>Average Home - Existing Conditions</t>
  </si>
  <si>
    <t>Mid - Elec (kBtu)</t>
  </si>
  <si>
    <t>Mid - Gas (kBtu)</t>
  </si>
  <si>
    <t>Average Home - Geo Conditions</t>
  </si>
  <si>
    <t>Date/Time</t>
  </si>
  <si>
    <t>Existing - Electric/Cooling</t>
  </si>
  <si>
    <t>Existing - Heating/Natural Gas</t>
  </si>
  <si>
    <t>Electric - PV</t>
  </si>
  <si>
    <t>NG-PV-Heating</t>
  </si>
  <si>
    <t>Cooling - Geo</t>
  </si>
  <si>
    <t>Heating - Geo</t>
  </si>
  <si>
    <t>Cooling - Geo - PV</t>
  </si>
  <si>
    <t>Heating - Geo - PV</t>
  </si>
  <si>
    <t>Jan</t>
  </si>
  <si>
    <t>Feb</t>
  </si>
  <si>
    <t>Mar</t>
  </si>
  <si>
    <t>Apr</t>
  </si>
  <si>
    <t>May</t>
  </si>
  <si>
    <t>Jun</t>
  </si>
  <si>
    <t>Jul</t>
  </si>
  <si>
    <t>Aug</t>
  </si>
  <si>
    <t>Sep</t>
  </si>
  <si>
    <t>Oct</t>
  </si>
  <si>
    <t>Nov</t>
  </si>
  <si>
    <t>Dec</t>
  </si>
  <si>
    <t>NG</t>
  </si>
  <si>
    <t>/kbtu</t>
  </si>
  <si>
    <t>Inflow Electric</t>
  </si>
  <si>
    <t>Outflow Electric</t>
  </si>
  <si>
    <t>Because geo is more efficient than the AC, cooling energy should decrease &amp; PV can be used for more receptacle load</t>
  </si>
  <si>
    <t>PV will be connected to the grid a half price back</t>
  </si>
  <si>
    <t>AC COP</t>
  </si>
  <si>
    <t>Geo Cooling COP</t>
  </si>
  <si>
    <t>Geo Heating COP</t>
  </si>
  <si>
    <t>kWh</t>
  </si>
  <si>
    <t>Ratio</t>
  </si>
  <si>
    <t>January</t>
  </si>
  <si>
    <t>February</t>
  </si>
  <si>
    <t>March</t>
  </si>
  <si>
    <t>April</t>
  </si>
  <si>
    <t>June</t>
  </si>
  <si>
    <t>July</t>
  </si>
  <si>
    <t>August</t>
  </si>
  <si>
    <t>September</t>
  </si>
  <si>
    <t>October</t>
  </si>
  <si>
    <t>November</t>
  </si>
  <si>
    <t>December</t>
  </si>
  <si>
    <t>Community Center - Existing</t>
  </si>
  <si>
    <t>Community Center - Geo</t>
  </si>
  <si>
    <t>Bryant Elementary - Existing</t>
  </si>
  <si>
    <t>Bryant Elementary - Geo</t>
  </si>
  <si>
    <t>County Health - Existing</t>
  </si>
  <si>
    <t>County Health - Geo</t>
  </si>
  <si>
    <t>Wheeler Center - Existing</t>
  </si>
  <si>
    <t>Wheeler Center - Geo</t>
  </si>
  <si>
    <t>Wheeler Maintenance (S) - Existing</t>
  </si>
  <si>
    <t>Wheeler Maintenance (S) - Geo</t>
  </si>
  <si>
    <t>Wheeler Vehicle Storage (E) - Existing</t>
  </si>
  <si>
    <t>Wheeler Vehicle Storage (E) - Geo</t>
  </si>
  <si>
    <t>Whole Neighborhood - Existing</t>
  </si>
  <si>
    <t>Whole Neighborhood - Geo</t>
  </si>
  <si>
    <t>Wood Framed: R-13/R-19</t>
  </si>
  <si>
    <t>Code: U-0.055</t>
  </si>
  <si>
    <t>R-18</t>
  </si>
  <si>
    <t>R-10</t>
  </si>
  <si>
    <t>Pump Head = 160 ft</t>
  </si>
  <si>
    <t>Wood Framed Attic: R-30/R-38</t>
  </si>
  <si>
    <t>U-0.063</t>
  </si>
  <si>
    <t>R-15</t>
  </si>
  <si>
    <t>Pump gpm = 2500 gpm</t>
  </si>
  <si>
    <t>Crawl Space: R-13</t>
  </si>
  <si>
    <t>See Pump Calcs on next page</t>
  </si>
  <si>
    <t>U-0.33-0.5</t>
  </si>
  <si>
    <t>U-0.45, SHGC-0.4</t>
  </si>
  <si>
    <t>U-0.50</t>
  </si>
  <si>
    <t>0-20%</t>
  </si>
  <si>
    <t xml:space="preserve">Lighting (W/sqft) </t>
  </si>
  <si>
    <t>0.85 W/sf assumed</t>
  </si>
  <si>
    <t>1 W/sf</t>
  </si>
  <si>
    <t>0.76 W/sf (Interior)</t>
  </si>
  <si>
    <t>0.6 W/sf</t>
  </si>
  <si>
    <t>7 fridges, 2 freezers, computers
0.9 W/sf</t>
  </si>
  <si>
    <t>N/A</t>
  </si>
  <si>
    <t>Packaged RTUs</t>
  </si>
  <si>
    <t>8 packaged units
6 units go to VAV</t>
  </si>
  <si>
    <t>Office: RTU w/ ERW (70%)
Warehouse: Heating Only - ERU</t>
  </si>
  <si>
    <t>MAU Heating Only</t>
  </si>
  <si>
    <t>AC: SEER 10/13, 2.5 COP</t>
  </si>
  <si>
    <t>AC: 2.5 COP</t>
  </si>
  <si>
    <t>RTU: EER 12, COP 3.5</t>
  </si>
  <si>
    <t>RTU: COP 3.5</t>
  </si>
  <si>
    <t>AFUE: 95%</t>
  </si>
  <si>
    <t>RTU: 80%</t>
  </si>
  <si>
    <t>AFUE: 80%</t>
  </si>
  <si>
    <t>RTU: 80%
Gas Boiler: 85%</t>
  </si>
  <si>
    <t>RTU: 80%
ERU: 80%</t>
  </si>
  <si>
    <t>Gas Fired Unit Heater: 80%</t>
  </si>
  <si>
    <r>
      <rPr>
        <sz val="10"/>
        <color rgb="FFFF0000"/>
        <rFont val="Century Gothic"/>
        <family val="2"/>
      </rPr>
      <t>0.035 gal/sf/day</t>
    </r>
    <r>
      <rPr>
        <sz val="10"/>
        <color indexed="8"/>
        <rFont val="Century Gothic"/>
        <family val="2"/>
      </rPr>
      <t xml:space="preserve">
2 electric boilers, 1 NG boiler
</t>
    </r>
    <r>
      <rPr>
        <sz val="10"/>
        <color rgb="FFFF0000"/>
        <rFont val="Century Gothic"/>
        <family val="2"/>
      </rPr>
      <t>95% eff</t>
    </r>
  </si>
  <si>
    <t>Weekdays: 6 am - 6pm
200 sf/person</t>
  </si>
  <si>
    <t>Shutdown from June 1 - Aug 1</t>
  </si>
  <si>
    <t>Weekdays: 7 am - 5pm
100 people total (300 sf/person)</t>
  </si>
  <si>
    <t>7 am - 5 pm</t>
  </si>
  <si>
    <t>H: 70/66, C: 70/74</t>
  </si>
  <si>
    <t>H: 70/68, C:72/74</t>
  </si>
  <si>
    <t>H: 70/68, C:74/76</t>
  </si>
  <si>
    <t>H: 72/70, C:74/76</t>
  </si>
  <si>
    <t>H: 60, C: 85</t>
  </si>
  <si>
    <t>262 Homes</t>
  </si>
  <si>
    <t>Elementary</t>
  </si>
  <si>
    <t>County Health</t>
  </si>
  <si>
    <t>Wheeler Center</t>
  </si>
  <si>
    <t>Wheeler Maintenance</t>
  </si>
  <si>
    <t>Wheeler Vehicle Services</t>
  </si>
  <si>
    <t>Commercial</t>
  </si>
  <si>
    <t>/therm</t>
  </si>
  <si>
    <t>kbtu</t>
  </si>
  <si>
    <t>$</t>
  </si>
  <si>
    <t>Metric Tons</t>
  </si>
  <si>
    <t>Max gpm</t>
  </si>
  <si>
    <t>ft/ton</t>
  </si>
  <si>
    <t>$/ton</t>
  </si>
  <si>
    <t>/heating ton average</t>
  </si>
  <si>
    <t>total kBtu</t>
  </si>
  <si>
    <t>Single Home</t>
  </si>
  <si>
    <t>School</t>
  </si>
  <si>
    <t>DesignBuilder Fan Pressure Calc</t>
  </si>
  <si>
    <t>DesignBuilder Heat Pump Plant Load Estimation</t>
  </si>
  <si>
    <t>Typical Range</t>
  </si>
  <si>
    <t>Inputs</t>
  </si>
  <si>
    <t>Sqft</t>
  </si>
  <si>
    <t>Htg (btu/sqft)</t>
  </si>
  <si>
    <t>35-45 btu/sqft</t>
  </si>
  <si>
    <t>Clg (sqft/ton)</t>
  </si>
  <si>
    <t>250-400 sqft/ton</t>
  </si>
  <si>
    <t>AHU</t>
  </si>
  <si>
    <t>Supply</t>
  </si>
  <si>
    <t>Exhaust</t>
  </si>
  <si>
    <t>Htg (COP)</t>
  </si>
  <si>
    <t>Tag</t>
  </si>
  <si>
    <t>CFM</t>
  </si>
  <si>
    <t>BHP</t>
  </si>
  <si>
    <t>Eff</t>
  </si>
  <si>
    <t>SP</t>
  </si>
  <si>
    <t>kW</t>
  </si>
  <si>
    <t>W/cfm</t>
  </si>
  <si>
    <t>Clg (COP)</t>
  </si>
  <si>
    <t>HP</t>
  </si>
  <si>
    <t>Cooling Heat Pump</t>
  </si>
  <si>
    <t>Load Side Flow Rate (GPM)</t>
  </si>
  <si>
    <t>2.4 gpm/ton</t>
  </si>
  <si>
    <t>Source Side Flow Rate (GPM)</t>
  </si>
  <si>
    <t>3 gpm/ton</t>
  </si>
  <si>
    <t>Cooling Capacity (W)</t>
  </si>
  <si>
    <t>Total Btu/h per AHU</t>
  </si>
  <si>
    <t>Cooling Capacity (tons)</t>
  </si>
  <si>
    <t>Sensible Btu/h per AHU</t>
  </si>
  <si>
    <t>Cooling Power Consumption (W)</t>
  </si>
  <si>
    <t>Heating Heat Pump</t>
  </si>
  <si>
    <t>FCU</t>
  </si>
  <si>
    <t>1 gpm/10,000 Btu</t>
  </si>
  <si>
    <t>Qty</t>
  </si>
  <si>
    <t>Heating Capacity (W)</t>
  </si>
  <si>
    <t>Heating capacity (Btu/h)</t>
  </si>
  <si>
    <t>Btu/h per AHU</t>
  </si>
  <si>
    <t>Heating Power Consumption (W)</t>
  </si>
  <si>
    <t>Geothermal Loop</t>
  </si>
  <si>
    <t>Source Side Flow Rate (GPM) [Htg+Clg Geo]</t>
  </si>
  <si>
    <t>W/CFM</t>
  </si>
  <si>
    <t>Total</t>
  </si>
  <si>
    <t>Ground Heat Exchanger</t>
  </si>
  <si>
    <t># boreholes based on cooling load (250 ft bores)</t>
  </si>
  <si>
    <t>each 250 ft borehole is about 2 tons cooling capacity</t>
  </si>
  <si>
    <t>each 250 ft borehole is about 1 tons cooling capacity</t>
  </si>
  <si>
    <t># of Ground heat exchangers as per documents</t>
  </si>
  <si>
    <t>DesignBuilder Pump Head Calc</t>
  </si>
  <si>
    <t>Design flow Rate (GPM)</t>
  </si>
  <si>
    <t>Air Flow</t>
  </si>
  <si>
    <t>/3 tons</t>
  </si>
  <si>
    <t>cfm total</t>
  </si>
  <si>
    <t>cfm</t>
  </si>
  <si>
    <t>/tons</t>
  </si>
  <si>
    <t>cfm per AHU</t>
  </si>
  <si>
    <t>Head</t>
  </si>
  <si>
    <t>GPM</t>
  </si>
  <si>
    <t>ft of H2O</t>
  </si>
  <si>
    <t>PSI</t>
  </si>
  <si>
    <t>North Pri + Secondary</t>
  </si>
  <si>
    <t>South Pri + Sec</t>
  </si>
  <si>
    <t>Connecting (2)</t>
  </si>
  <si>
    <t>therm</t>
  </si>
  <si>
    <t>CF</t>
  </si>
  <si>
    <t>2011 Target</t>
  </si>
  <si>
    <t>Gas EUI</t>
  </si>
  <si>
    <t>Elec EUI</t>
  </si>
  <si>
    <t>North Loop</t>
  </si>
  <si>
    <t>South Loop</t>
  </si>
  <si>
    <t>% of loop heating tons</t>
  </si>
  <si>
    <t>approx # of bores (500 ft)</t>
  </si>
  <si>
    <t>Central Pump kBtu</t>
  </si>
  <si>
    <t>Central Pump Assumptions</t>
  </si>
  <si>
    <t>Peak Load</t>
  </si>
  <si>
    <t>Central Geo Pumping (Homes Only)</t>
  </si>
  <si>
    <t>central pumping</t>
  </si>
  <si>
    <t>Gas Water Heater = 80% eff</t>
  </si>
  <si>
    <t>See Homes Inputs Tab</t>
  </si>
  <si>
    <t>26 - Best
78 - Mid
162 - Worst
See Homes Inputs Tab</t>
  </si>
  <si>
    <t>RTU with VAV w/ 
energy recovery (70%)
Boiler for perimeter heat</t>
  </si>
  <si>
    <t>Homes only</t>
  </si>
  <si>
    <t>All north loads</t>
  </si>
  <si>
    <t>All south loads</t>
  </si>
  <si>
    <t>All loads</t>
  </si>
  <si>
    <t>Wheeler veh storage</t>
  </si>
  <si>
    <t># bores (@700')</t>
  </si>
  <si>
    <t># bores (@500')</t>
  </si>
  <si>
    <t>ln ft bore/heating ton</t>
  </si>
  <si>
    <t>Cooling gpm</t>
  </si>
  <si>
    <t>Heating gpm</t>
  </si>
  <si>
    <t>Min loop temp</t>
  </si>
  <si>
    <t>Max loop temp</t>
  </si>
  <si>
    <t>based on peak from the energy model hourly profile</t>
  </si>
  <si>
    <t>Cooling peaks (tons)</t>
  </si>
  <si>
    <t>Heating peaks (tons)</t>
  </si>
  <si>
    <t>Savings</t>
  </si>
  <si>
    <t>262 Homes - Geo + Wx</t>
  </si>
  <si>
    <t>Whole Neighborhood - Geo + PV + Wx</t>
  </si>
  <si>
    <t>262 Homes - Geo + PV + Wx</t>
  </si>
  <si>
    <t>Whole Neighborhood - Geo + Wx</t>
  </si>
  <si>
    <t>(kBtu/sf/yr)</t>
  </si>
  <si>
    <t>Weatherization</t>
  </si>
  <si>
    <t>Whole Neighborhood - Geo + PV + Wx + 2030 Grid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</si>
</sst>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0.0%"/>
    <numFmt numFmtId="165" formatCode="_(&quot;$&quot;* #,##0_);_(&quot;$&quot;* \(#,##0\);_(&quot;$&quot;* &quot;-&quot;??_);_(@_)"/>
    <numFmt numFmtId="166" formatCode="&quot;$&quot;#,##0"/>
    <numFmt numFmtId="167" formatCode="0.0"/>
    <numFmt numFmtId="168" formatCode="#,##0.0"/>
    <numFmt numFmtId="169" formatCode="_(* #,##0.0_);_(* \(#,##0.0\);_(* &quot;-&quot;?_);_(@_)"/>
    <numFmt numFmtId="170" formatCode="0.000000"/>
    <numFmt numFmtId="171" formatCode="&quot;$&quot;#,##0.000"/>
    <numFmt numFmtId="172" formatCode="_(* #,##0_);_(* \(#,##0\);_(* &quot;-&quot;??_);_(@_)"/>
    <numFmt numFmtId="173" formatCode="[$-409]mmmmm;@"/>
    <numFmt numFmtId="174" formatCode="&quot;$&quot;#,##0.00"/>
    <numFmt numFmtId="175" formatCode="_(&quot;$&quot;* #,##0.000_);_(&quot;$&quot;* \(#,##0.000\);_(&quot;$&quot;* &quot;-&quot;??_);_(@_)"/>
  </numFmts>
  <fonts count="67" x14ac:knownFonts="1">
    <font>
      <sz val="10"/>
      <color indexed="8"/>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sz val="11"/>
      <color theme="1"/>
      <name val="Calibri"/>
      <family val="2"/>
      <scheme val="minor"/>
    </font>
    <font>
      <u/>
      <sz val="11"/>
      <color theme="1"/>
      <name val="Calibri"/>
      <family val="2"/>
      <scheme val="minor"/>
    </font>
    <font>
      <b/>
      <sz val="10"/>
      <color indexed="8"/>
      <name val="Arial"/>
      <family val="2"/>
    </font>
    <font>
      <b/>
      <u/>
      <sz val="10"/>
      <color rgb="FF000000"/>
      <name val="Century Gothic"/>
      <family val="2"/>
    </font>
    <font>
      <sz val="10"/>
      <color rgb="FF000000"/>
      <name val="Century Gothic"/>
      <family val="2"/>
    </font>
    <font>
      <sz val="10"/>
      <color theme="1"/>
      <name val="Century Gothic"/>
      <family val="2"/>
    </font>
    <font>
      <vertAlign val="superscript"/>
      <sz val="10"/>
      <color rgb="FF000000"/>
      <name val="Century Gothic"/>
      <family val="2"/>
    </font>
    <font>
      <sz val="10"/>
      <color indexed="8"/>
      <name val="Century Gothic"/>
      <family val="2"/>
    </font>
    <font>
      <b/>
      <sz val="10"/>
      <color indexed="8"/>
      <name val="Century Gothic"/>
      <family val="2"/>
    </font>
    <font>
      <b/>
      <u/>
      <sz val="11"/>
      <color theme="1"/>
      <name val="Calibri"/>
      <family val="2"/>
      <scheme val="minor"/>
    </font>
    <font>
      <sz val="11"/>
      <color indexed="8"/>
      <name val="Century Gothic"/>
      <family val="2"/>
    </font>
    <font>
      <sz val="11"/>
      <color theme="1"/>
      <name val="Century Gothic"/>
      <family val="2"/>
    </font>
    <font>
      <sz val="10"/>
      <color rgb="FF555555"/>
      <name val="Tahoma"/>
      <family val="2"/>
    </font>
    <font>
      <sz val="8"/>
      <name val="Arial"/>
      <family val="2"/>
    </font>
    <font>
      <b/>
      <sz val="12"/>
      <color indexed="8"/>
      <name val="Century Gothic"/>
      <family val="2"/>
    </font>
    <font>
      <b/>
      <sz val="14"/>
      <color theme="1"/>
      <name val="Calibri"/>
      <family val="2"/>
      <scheme val="minor"/>
    </font>
    <font>
      <sz val="11"/>
      <color indexed="8"/>
      <name val="Calibri"/>
      <family val="2"/>
      <scheme val="minor"/>
    </font>
    <font>
      <sz val="12"/>
      <color indexed="8"/>
      <name val="Arial"/>
      <family val="2"/>
    </font>
    <font>
      <u/>
      <sz val="12"/>
      <color indexed="8"/>
      <name val="Arial"/>
      <family val="2"/>
    </font>
    <font>
      <u/>
      <sz val="10"/>
      <color indexed="8"/>
      <name val="Arial"/>
      <family val="2"/>
    </font>
    <font>
      <sz val="10"/>
      <color rgb="FFFF0000"/>
      <name val="Century Gothic"/>
      <family val="2"/>
    </font>
    <font>
      <sz val="10"/>
      <name val="Century Gothic"/>
      <family val="2"/>
    </font>
    <font>
      <sz val="10"/>
      <color rgb="FF00B050"/>
      <name val="Century Gothic"/>
      <family val="2"/>
    </font>
    <font>
      <strike/>
      <sz val="10"/>
      <color indexed="8"/>
      <name val="Century Gothic"/>
      <family val="2"/>
    </font>
    <font>
      <sz val="10"/>
      <color rgb="FFFF0000"/>
      <name val="Arial"/>
      <family val="2"/>
    </font>
    <font>
      <b/>
      <sz val="10"/>
      <color rgb="FFFF0000"/>
      <name val="Arial"/>
      <family val="2"/>
    </font>
    <font>
      <sz val="10"/>
      <color indexed="8"/>
      <name val="Arial"/>
      <family val="2"/>
    </font>
    <font>
      <b/>
      <sz val="10"/>
      <name val="Arial"/>
      <family val="2"/>
    </font>
    <font>
      <sz val="10"/>
      <name val="Arial"/>
      <family val="2"/>
    </font>
    <font>
      <b/>
      <sz val="10"/>
      <name val="Century Gothic"/>
      <family val="2"/>
    </font>
    <font>
      <b/>
      <sz val="16"/>
      <name val="Century Gothic"/>
      <family val="2"/>
    </font>
    <font>
      <b/>
      <sz val="12"/>
      <name val="Century Gothic"/>
      <family val="2"/>
    </font>
    <font>
      <sz val="11"/>
      <color rgb="FFFF0000"/>
      <name val="Calibri"/>
      <family val="2"/>
      <scheme val="minor"/>
    </font>
    <font>
      <sz val="11"/>
      <color indexed="8"/>
      <name val="Aptos"/>
      <family val="2"/>
    </font>
    <font>
      <b/>
      <sz val="11"/>
      <color indexed="8"/>
      <name val="Aptos"/>
      <family val="2"/>
    </font>
    <font>
      <sz val="10"/>
      <color rgb="FFFF0000"/>
      <name val="Tahoma"/>
      <family val="2"/>
    </font>
    <font>
      <b/>
      <strike/>
      <sz val="12"/>
      <color indexed="8"/>
      <name val="Cambria"/>
      <family val="1"/>
    </font>
    <font>
      <strike/>
      <sz val="10"/>
      <color indexed="8"/>
      <name val="Cambria"/>
      <family val="1"/>
    </font>
    <font>
      <strike/>
      <sz val="10"/>
      <color rgb="FF000000"/>
      <name val="Cambria"/>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8"/>
      <name val="Calibri"/>
      <family val="2"/>
      <scheme val="minor"/>
    </font>
    <font>
      <sz val="10"/>
      <name val="Tahoma"/>
      <family val="2"/>
    </font>
    <font>
      <sz val="11"/>
      <color theme="1"/>
      <name val="Arial"/>
      <family val="2"/>
    </font>
    <font>
      <b/>
      <sz val="11"/>
      <color theme="1"/>
      <name val="Arial"/>
      <family val="2"/>
    </font>
    <font>
      <b/>
      <u/>
      <sz val="10"/>
      <color indexed="8"/>
      <name val="Arial"/>
      <family val="2"/>
    </font>
  </fonts>
  <fills count="58">
    <fill>
      <patternFill patternType="none"/>
    </fill>
    <fill>
      <patternFill patternType="gray125"/>
    </fill>
    <fill>
      <patternFill patternType="solid">
        <fgColor theme="5" tint="0.59999389629810485"/>
        <bgColor indexed="64"/>
      </patternFill>
    </fill>
    <fill>
      <patternFill patternType="solid">
        <fgColor rgb="FFD9D9D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rgb="FFDBDBDB"/>
        <bgColor indexed="64"/>
      </patternFill>
    </fill>
    <fill>
      <patternFill patternType="solid">
        <fgColor rgb="FFF8CBAD"/>
        <bgColor indexed="64"/>
      </patternFill>
    </fill>
    <fill>
      <patternFill patternType="solid">
        <fgColor rgb="FFFFFF00"/>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2"/>
        <bgColor indexed="64"/>
      </patternFill>
    </fill>
    <fill>
      <patternFill patternType="solid">
        <fgColor theme="8" tint="0.79998168889431442"/>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medium">
        <color rgb="FFCBCBCB"/>
      </left>
      <right style="medium">
        <color rgb="FFCBCBCB"/>
      </right>
      <top style="medium">
        <color rgb="FFCBCBCB"/>
      </top>
      <bottom style="medium">
        <color rgb="FFCBCBCB"/>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8">
    <xf numFmtId="0" fontId="0" fillId="0" borderId="0">
      <alignment vertical="top"/>
    </xf>
    <xf numFmtId="44" fontId="8" fillId="0" borderId="0" applyFont="0" applyFill="0" applyBorder="0" applyAlignment="0" applyProtection="0"/>
    <xf numFmtId="9" fontId="8" fillId="0" borderId="0" applyFont="0" applyFill="0" applyBorder="0" applyAlignment="0" applyProtection="0"/>
    <xf numFmtId="0" fontId="7" fillId="0" borderId="0"/>
    <xf numFmtId="9" fontId="7" fillId="0" borderId="0" applyFont="0" applyFill="0" applyBorder="0" applyAlignment="0" applyProtection="0"/>
    <xf numFmtId="0" fontId="8" fillId="0" borderId="0">
      <alignment vertical="top"/>
    </xf>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5" fillId="0" borderId="0"/>
    <xf numFmtId="0" fontId="4" fillId="0" borderId="0"/>
    <xf numFmtId="43" fontId="35"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48" fillId="0" borderId="0" applyNumberFormat="0" applyFill="0" applyBorder="0" applyAlignment="0" applyProtection="0"/>
    <xf numFmtId="0" fontId="49" fillId="0" borderId="60" applyNumberFormat="0" applyFill="0" applyAlignment="0" applyProtection="0"/>
    <xf numFmtId="0" fontId="50" fillId="0" borderId="61" applyNumberFormat="0" applyFill="0" applyAlignment="0" applyProtection="0"/>
    <xf numFmtId="0" fontId="51" fillId="0" borderId="62" applyNumberFormat="0" applyFill="0" applyAlignment="0" applyProtection="0"/>
    <xf numFmtId="0" fontId="51" fillId="0" borderId="0" applyNumberFormat="0" applyFill="0" applyBorder="0" applyAlignment="0" applyProtection="0"/>
    <xf numFmtId="0" fontId="52"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7" borderId="63" applyNumberFormat="0" applyAlignment="0" applyProtection="0"/>
    <xf numFmtId="0" fontId="56" fillId="28" borderId="64" applyNumberFormat="0" applyAlignment="0" applyProtection="0"/>
    <xf numFmtId="0" fontId="57" fillId="28" borderId="63" applyNumberFormat="0" applyAlignment="0" applyProtection="0"/>
    <xf numFmtId="0" fontId="58" fillId="0" borderId="65" applyNumberFormat="0" applyFill="0" applyAlignment="0" applyProtection="0"/>
    <xf numFmtId="0" fontId="59" fillId="29" borderId="66" applyNumberFormat="0" applyAlignment="0" applyProtection="0"/>
    <xf numFmtId="0" fontId="41" fillId="0" borderId="0" applyNumberFormat="0" applyFill="0" applyBorder="0" applyAlignment="0" applyProtection="0"/>
    <xf numFmtId="0" fontId="60" fillId="0" borderId="0" applyNumberFormat="0" applyFill="0" applyBorder="0" applyAlignment="0" applyProtection="0"/>
    <xf numFmtId="0" fontId="9" fillId="0" borderId="68" applyNumberFormat="0" applyFill="0" applyAlignment="0" applyProtection="0"/>
    <xf numFmtId="0" fontId="61"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61"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61"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61"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61"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61"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0" borderId="0"/>
    <xf numFmtId="0" fontId="2" fillId="30" borderId="67" applyNumberFormat="0" applyFont="0" applyAlignment="0" applyProtection="0"/>
  </cellStyleXfs>
  <cellXfs count="789">
    <xf numFmtId="0" fontId="0" fillId="0" borderId="0" xfId="0">
      <alignment vertical="top"/>
    </xf>
    <xf numFmtId="0" fontId="0" fillId="0" borderId="0" xfId="0" applyAlignment="1">
      <alignment horizontal="center" vertical="top"/>
    </xf>
    <xf numFmtId="0" fontId="8" fillId="0" borderId="1" xfId="0" applyFont="1" applyBorder="1" applyAlignment="1">
      <alignment horizontal="center" vertical="top"/>
    </xf>
    <xf numFmtId="0" fontId="0" fillId="0" borderId="1" xfId="0" applyBorder="1" applyAlignment="1">
      <alignment horizontal="center" vertical="top"/>
    </xf>
    <xf numFmtId="0" fontId="7" fillId="0" borderId="0" xfId="3"/>
    <xf numFmtId="0" fontId="7" fillId="0" borderId="0" xfId="3" applyAlignment="1">
      <alignment horizontal="center"/>
    </xf>
    <xf numFmtId="0" fontId="9" fillId="0" borderId="0" xfId="3" applyFont="1" applyAlignment="1">
      <alignment horizontal="right"/>
    </xf>
    <xf numFmtId="0" fontId="7" fillId="0" borderId="0" xfId="3" applyAlignment="1">
      <alignment horizontal="right"/>
    </xf>
    <xf numFmtId="167" fontId="7" fillId="0" borderId="1" xfId="3" applyNumberFormat="1" applyBorder="1" applyAlignment="1">
      <alignment horizontal="center"/>
    </xf>
    <xf numFmtId="3" fontId="0" fillId="0" borderId="0" xfId="0" applyNumberFormat="1" applyAlignment="1">
      <alignment horizontal="center" vertical="top"/>
    </xf>
    <xf numFmtId="0" fontId="9" fillId="5" borderId="1" xfId="3" applyFont="1" applyFill="1" applyBorder="1" applyAlignment="1">
      <alignment horizontal="center"/>
    </xf>
    <xf numFmtId="0" fontId="11" fillId="7" borderId="1" xfId="0" applyFont="1" applyFill="1" applyBorder="1" applyAlignment="1">
      <alignment horizontal="center" vertical="center" wrapText="1"/>
    </xf>
    <xf numFmtId="0" fontId="14" fillId="0" borderId="1" xfId="3" applyFont="1" applyBorder="1" applyAlignment="1">
      <alignment horizontal="center" vertical="center"/>
    </xf>
    <xf numFmtId="3" fontId="13" fillId="0" borderId="1" xfId="3" applyNumberFormat="1" applyFont="1" applyBorder="1" applyAlignment="1">
      <alignment horizontal="center" vertical="center"/>
    </xf>
    <xf numFmtId="0" fontId="0" fillId="8" borderId="0" xfId="0" applyFill="1">
      <alignment vertical="top"/>
    </xf>
    <xf numFmtId="0" fontId="16" fillId="0" borderId="1" xfId="0" applyFont="1" applyBorder="1" applyAlignment="1">
      <alignment horizontal="center" vertical="center"/>
    </xf>
    <xf numFmtId="3" fontId="0" fillId="0" borderId="1" xfId="0" applyNumberFormat="1" applyBorder="1" applyAlignment="1">
      <alignment horizontal="center" vertical="top"/>
    </xf>
    <xf numFmtId="0" fontId="6" fillId="0" borderId="0" xfId="8" applyAlignment="1">
      <alignment horizontal="center"/>
    </xf>
    <xf numFmtId="0" fontId="6" fillId="0" borderId="0" xfId="8"/>
    <xf numFmtId="0" fontId="6" fillId="5" borderId="1" xfId="8" applyFill="1" applyBorder="1" applyAlignment="1">
      <alignment horizontal="center"/>
    </xf>
    <xf numFmtId="0" fontId="8" fillId="0" borderId="0" xfId="0" applyFont="1" applyAlignment="1">
      <alignment horizontal="center" vertical="top"/>
    </xf>
    <xf numFmtId="0" fontId="11" fillId="5" borderId="1" xfId="0" applyFont="1" applyFill="1" applyBorder="1" applyAlignment="1">
      <alignment horizontal="center" vertical="center"/>
    </xf>
    <xf numFmtId="0" fontId="0" fillId="0" borderId="0" xfId="0" applyAlignment="1">
      <alignment horizontal="center" vertical="center"/>
    </xf>
    <xf numFmtId="3" fontId="10" fillId="0" borderId="0" xfId="3" applyNumberFormat="1" applyFont="1" applyAlignment="1">
      <alignment horizontal="center"/>
    </xf>
    <xf numFmtId="167" fontId="7" fillId="11" borderId="1" xfId="3" applyNumberFormat="1" applyFill="1" applyBorder="1" applyAlignment="1">
      <alignment horizontal="center"/>
    </xf>
    <xf numFmtId="0" fontId="18" fillId="0" borderId="0" xfId="3" applyFont="1" applyAlignment="1">
      <alignment horizontal="right"/>
    </xf>
    <xf numFmtId="167" fontId="18" fillId="0" borderId="0" xfId="3" applyNumberFormat="1" applyFont="1" applyAlignment="1">
      <alignment horizontal="center"/>
    </xf>
    <xf numFmtId="165" fontId="18" fillId="0" borderId="0" xfId="1" applyNumberFormat="1" applyFont="1" applyAlignment="1">
      <alignment horizontal="center"/>
    </xf>
    <xf numFmtId="0" fontId="16" fillId="0" borderId="0" xfId="0" applyFont="1">
      <alignment vertical="top"/>
    </xf>
    <xf numFmtId="0" fontId="20" fillId="0" borderId="0" xfId="3" applyFont="1"/>
    <xf numFmtId="0" fontId="16" fillId="0" borderId="0" xfId="0" applyFont="1" applyAlignment="1">
      <alignment horizontal="center" vertical="top"/>
    </xf>
    <xf numFmtId="0" fontId="16" fillId="0" borderId="1" xfId="0" applyFont="1" applyBorder="1" applyAlignment="1">
      <alignment horizontal="right" vertical="top"/>
    </xf>
    <xf numFmtId="0" fontId="16" fillId="0" borderId="1" xfId="0" applyFont="1" applyBorder="1">
      <alignment vertical="top"/>
    </xf>
    <xf numFmtId="170" fontId="16" fillId="0" borderId="0" xfId="0" applyNumberFormat="1" applyFont="1" applyAlignment="1">
      <alignment horizontal="center" vertical="top"/>
    </xf>
    <xf numFmtId="0" fontId="17" fillId="5" borderId="1" xfId="0" applyFont="1" applyFill="1" applyBorder="1" applyAlignment="1">
      <alignment horizontal="center" vertical="center" wrapText="1"/>
    </xf>
    <xf numFmtId="1" fontId="16" fillId="13" borderId="1" xfId="0" quotePrefix="1" applyNumberFormat="1" applyFont="1" applyFill="1" applyBorder="1" applyAlignment="1">
      <alignment horizontal="center" vertical="top"/>
    </xf>
    <xf numFmtId="3" fontId="16" fillId="13" borderId="1" xfId="1" applyNumberFormat="1" applyFont="1" applyFill="1" applyBorder="1" applyAlignment="1">
      <alignment horizontal="center" vertical="top"/>
    </xf>
    <xf numFmtId="9" fontId="16" fillId="0" borderId="1" xfId="2" applyFont="1" applyFill="1" applyBorder="1" applyAlignment="1">
      <alignment horizontal="center" vertical="top"/>
    </xf>
    <xf numFmtId="0" fontId="21" fillId="0" borderId="11" xfId="0" applyFont="1" applyBorder="1" applyAlignment="1">
      <alignment vertical="center"/>
    </xf>
    <xf numFmtId="0" fontId="21" fillId="0" borderId="11" xfId="0" applyFont="1" applyBorder="1" applyAlignment="1">
      <alignment horizontal="right" vertical="center"/>
    </xf>
    <xf numFmtId="0" fontId="21" fillId="0" borderId="11" xfId="0" applyFont="1" applyBorder="1" applyAlignment="1">
      <alignment horizontal="center" vertical="center" wrapText="1"/>
    </xf>
    <xf numFmtId="3" fontId="21" fillId="0" borderId="11" xfId="0" applyNumberFormat="1" applyFont="1" applyBorder="1" applyAlignment="1">
      <alignment horizontal="center" vertical="center"/>
    </xf>
    <xf numFmtId="0" fontId="13" fillId="0" borderId="0" xfId="3" applyFont="1" applyAlignment="1">
      <alignment horizontal="center" vertical="center"/>
    </xf>
    <xf numFmtId="0" fontId="13" fillId="0" borderId="1" xfId="3" applyFont="1" applyBorder="1" applyAlignment="1">
      <alignment horizontal="center" vertical="center"/>
    </xf>
    <xf numFmtId="0" fontId="16" fillId="0" borderId="1" xfId="0" applyFont="1" applyBorder="1" applyAlignment="1">
      <alignment horizontal="center" vertical="top"/>
    </xf>
    <xf numFmtId="0" fontId="11" fillId="7" borderId="0" xfId="0" applyFont="1" applyFill="1">
      <alignment vertical="top"/>
    </xf>
    <xf numFmtId="168" fontId="0" fillId="0" borderId="0" xfId="0" applyNumberFormat="1">
      <alignment vertical="top"/>
    </xf>
    <xf numFmtId="166" fontId="0" fillId="0" borderId="0" xfId="0" applyNumberFormat="1" applyAlignment="1">
      <alignment horizontal="center" vertical="top"/>
    </xf>
    <xf numFmtId="0" fontId="0" fillId="0" borderId="0" xfId="0" applyAlignment="1">
      <alignment vertical="center"/>
    </xf>
    <xf numFmtId="1" fontId="0" fillId="0" borderId="0" xfId="0" applyNumberFormat="1" applyAlignment="1">
      <alignment horizontal="center" vertical="top"/>
    </xf>
    <xf numFmtId="0" fontId="16" fillId="0" borderId="0" xfId="0" applyFont="1" applyAlignment="1">
      <alignment horizontal="center" vertical="center"/>
    </xf>
    <xf numFmtId="164" fontId="13" fillId="0" borderId="1" xfId="2" applyNumberFormat="1" applyFont="1" applyBorder="1" applyAlignment="1">
      <alignment horizontal="center" vertical="center"/>
    </xf>
    <xf numFmtId="2" fontId="16" fillId="0" borderId="1" xfId="0" applyNumberFormat="1" applyFont="1" applyBorder="1" applyAlignment="1">
      <alignment horizontal="center" vertical="center"/>
    </xf>
    <xf numFmtId="0" fontId="16" fillId="0" borderId="1" xfId="0" applyFont="1" applyBorder="1" applyAlignment="1">
      <alignment horizontal="center" vertical="center" wrapText="1"/>
    </xf>
    <xf numFmtId="0" fontId="13" fillId="4" borderId="1" xfId="3" applyFont="1" applyFill="1" applyBorder="1" applyAlignment="1">
      <alignment horizontal="center" vertical="center"/>
    </xf>
    <xf numFmtId="0" fontId="16" fillId="4" borderId="1" xfId="0" applyFont="1" applyFill="1" applyBorder="1" applyAlignment="1">
      <alignment horizontal="center" vertical="center"/>
    </xf>
    <xf numFmtId="164" fontId="13" fillId="4" borderId="1" xfId="2" applyNumberFormat="1" applyFont="1" applyFill="1" applyBorder="1" applyAlignment="1">
      <alignment horizontal="center" vertical="center"/>
    </xf>
    <xf numFmtId="2" fontId="16" fillId="4" borderId="1" xfId="0" applyNumberFormat="1" applyFont="1" applyFill="1" applyBorder="1" applyAlignment="1">
      <alignment horizontal="center" vertical="center"/>
    </xf>
    <xf numFmtId="0" fontId="16" fillId="4" borderId="1" xfId="0" applyFont="1" applyFill="1" applyBorder="1" applyAlignment="1">
      <alignment horizontal="center" vertical="center" wrapText="1"/>
    </xf>
    <xf numFmtId="0" fontId="23" fillId="4" borderId="1" xfId="0" applyFont="1" applyFill="1" applyBorder="1" applyAlignment="1">
      <alignment horizontal="center" vertical="center"/>
    </xf>
    <xf numFmtId="0" fontId="23" fillId="0" borderId="1" xfId="0" applyFont="1" applyBorder="1" applyAlignment="1">
      <alignment horizontal="center" vertical="center"/>
    </xf>
    <xf numFmtId="0" fontId="19" fillId="0" borderId="0" xfId="0" applyFont="1" applyAlignment="1">
      <alignment horizontal="left" vertical="center"/>
    </xf>
    <xf numFmtId="0" fontId="23" fillId="6" borderId="1" xfId="0" applyFont="1" applyFill="1" applyBorder="1" applyAlignment="1">
      <alignment horizontal="center" vertical="center"/>
    </xf>
    <xf numFmtId="166" fontId="0" fillId="0" borderId="1" xfId="1" applyNumberFormat="1" applyFont="1" applyBorder="1" applyAlignment="1">
      <alignment horizontal="center" vertical="top"/>
    </xf>
    <xf numFmtId="0" fontId="0" fillId="5" borderId="1" xfId="0" applyFill="1" applyBorder="1" applyAlignment="1">
      <alignment horizontal="center" vertical="center"/>
    </xf>
    <xf numFmtId="0" fontId="21" fillId="0" borderId="0" xfId="0" applyFont="1" applyAlignment="1">
      <alignment horizontal="right" vertical="center"/>
    </xf>
    <xf numFmtId="3" fontId="21" fillId="0" borderId="0" xfId="0" applyNumberFormat="1" applyFont="1" applyAlignment="1">
      <alignment horizontal="center" vertical="center"/>
    </xf>
    <xf numFmtId="0" fontId="21" fillId="8" borderId="0" xfId="0" applyFont="1" applyFill="1" applyAlignment="1">
      <alignment horizontal="right" vertical="center"/>
    </xf>
    <xf numFmtId="3" fontId="21" fillId="8" borderId="0" xfId="0" applyNumberFormat="1" applyFont="1" applyFill="1" applyAlignment="1">
      <alignment horizontal="center" vertical="center"/>
    </xf>
    <xf numFmtId="168" fontId="0" fillId="0" borderId="1" xfId="0" applyNumberFormat="1" applyBorder="1" applyAlignment="1">
      <alignment horizontal="center" vertical="top"/>
    </xf>
    <xf numFmtId="0" fontId="11" fillId="12" borderId="1" xfId="0" applyFont="1" applyFill="1" applyBorder="1" applyAlignment="1">
      <alignment horizontal="center" vertical="top"/>
    </xf>
    <xf numFmtId="168" fontId="0" fillId="6" borderId="1" xfId="0" applyNumberFormat="1" applyFill="1" applyBorder="1" applyAlignment="1">
      <alignment horizontal="center" vertical="top"/>
    </xf>
    <xf numFmtId="166" fontId="0" fillId="6" borderId="1" xfId="0" applyNumberFormat="1" applyFill="1" applyBorder="1" applyAlignment="1">
      <alignment horizontal="center" vertical="top"/>
    </xf>
    <xf numFmtId="9" fontId="16" fillId="0" borderId="0" xfId="2" applyFont="1" applyAlignment="1">
      <alignment horizontal="center" vertical="top"/>
    </xf>
    <xf numFmtId="0" fontId="16" fillId="10" borderId="1" xfId="0" applyFont="1" applyFill="1" applyBorder="1" applyAlignment="1">
      <alignment horizontal="center" vertical="center"/>
    </xf>
    <xf numFmtId="0" fontId="16" fillId="16" borderId="6" xfId="0" applyFont="1" applyFill="1" applyBorder="1">
      <alignment vertical="top"/>
    </xf>
    <xf numFmtId="0" fontId="16" fillId="16" borderId="0" xfId="0" applyFont="1" applyFill="1">
      <alignment vertical="top"/>
    </xf>
    <xf numFmtId="0" fontId="16" fillId="16" borderId="7" xfId="0" applyFont="1" applyFill="1" applyBorder="1" applyAlignment="1">
      <alignment horizontal="center" vertical="center"/>
    </xf>
    <xf numFmtId="0" fontId="16" fillId="16" borderId="7" xfId="0" applyFont="1" applyFill="1" applyBorder="1">
      <alignment vertical="top"/>
    </xf>
    <xf numFmtId="0" fontId="11" fillId="2" borderId="0" xfId="0" applyFont="1" applyFill="1">
      <alignment vertical="top"/>
    </xf>
    <xf numFmtId="168" fontId="16" fillId="13" borderId="1" xfId="1" applyNumberFormat="1" applyFont="1" applyFill="1" applyBorder="1" applyAlignment="1">
      <alignment horizontal="center" vertical="top"/>
    </xf>
    <xf numFmtId="0" fontId="16" fillId="13" borderId="1" xfId="0" applyFont="1" applyFill="1" applyBorder="1" applyAlignment="1">
      <alignment horizontal="center" vertical="center"/>
    </xf>
    <xf numFmtId="0" fontId="11" fillId="12" borderId="1" xfId="0" applyFont="1" applyFill="1" applyBorder="1" applyAlignment="1">
      <alignment horizontal="center" vertical="center"/>
    </xf>
    <xf numFmtId="0" fontId="8" fillId="0" borderId="0" xfId="0" applyFont="1" applyAlignment="1">
      <alignment horizontal="right" vertical="top"/>
    </xf>
    <xf numFmtId="0" fontId="11" fillId="2" borderId="1" xfId="0" applyFont="1" applyFill="1" applyBorder="1" applyAlignment="1">
      <alignment horizontal="center" vertical="center"/>
    </xf>
    <xf numFmtId="0" fontId="9" fillId="2" borderId="1" xfId="3" applyFont="1" applyFill="1" applyBorder="1" applyAlignment="1">
      <alignment horizontal="center"/>
    </xf>
    <xf numFmtId="0" fontId="13" fillId="0" borderId="1" xfId="3" applyFont="1" applyBorder="1" applyAlignment="1">
      <alignment horizontal="left" vertical="center"/>
    </xf>
    <xf numFmtId="171" fontId="16" fillId="0" borderId="1" xfId="1" applyNumberFormat="1" applyFont="1" applyBorder="1" applyAlignment="1">
      <alignment horizontal="center" vertical="top"/>
    </xf>
    <xf numFmtId="3" fontId="16" fillId="0" borderId="1" xfId="0" applyNumberFormat="1" applyFont="1" applyBorder="1" applyAlignment="1">
      <alignment horizontal="center" vertical="center"/>
    </xf>
    <xf numFmtId="170" fontId="16" fillId="0" borderId="1" xfId="0" applyNumberFormat="1" applyFont="1" applyBorder="1" applyAlignment="1">
      <alignment horizontal="center" vertical="top"/>
    </xf>
    <xf numFmtId="0" fontId="8" fillId="0" borderId="1" xfId="0" applyFont="1" applyBorder="1" applyAlignment="1">
      <alignment horizontal="center" vertical="center"/>
    </xf>
    <xf numFmtId="0" fontId="17" fillId="9" borderId="1" xfId="0" applyFont="1" applyFill="1" applyBorder="1" applyAlignment="1">
      <alignment horizontal="center" vertical="center"/>
    </xf>
    <xf numFmtId="0" fontId="11" fillId="17" borderId="1" xfId="0" applyFont="1" applyFill="1" applyBorder="1" applyAlignment="1">
      <alignment horizontal="center" vertical="top"/>
    </xf>
    <xf numFmtId="0" fontId="11" fillId="18" borderId="1" xfId="0" applyFont="1" applyFill="1" applyBorder="1" applyAlignment="1">
      <alignment horizontal="center" vertical="top"/>
    </xf>
    <xf numFmtId="0" fontId="11" fillId="19" borderId="1" xfId="0" applyFont="1" applyFill="1" applyBorder="1" applyAlignment="1">
      <alignment horizontal="center" vertical="top"/>
    </xf>
    <xf numFmtId="3" fontId="0" fillId="6" borderId="1" xfId="0" applyNumberFormat="1" applyFill="1" applyBorder="1" applyAlignment="1">
      <alignment horizontal="center" vertical="top"/>
    </xf>
    <xf numFmtId="0" fontId="0" fillId="5" borderId="0" xfId="0" applyFill="1">
      <alignment vertical="top"/>
    </xf>
    <xf numFmtId="0" fontId="11" fillId="5" borderId="0" xfId="0" applyFont="1" applyFill="1">
      <alignment vertical="top"/>
    </xf>
    <xf numFmtId="171" fontId="16" fillId="15" borderId="1" xfId="1" applyNumberFormat="1" applyFont="1" applyFill="1" applyBorder="1" applyAlignment="1">
      <alignment horizontal="center" vertical="top"/>
    </xf>
    <xf numFmtId="9" fontId="0" fillId="0" borderId="0" xfId="0" applyNumberFormat="1">
      <alignment vertical="top"/>
    </xf>
    <xf numFmtId="168" fontId="11" fillId="15" borderId="2" xfId="0" applyNumberFormat="1" applyFont="1" applyFill="1" applyBorder="1" applyAlignment="1">
      <alignment horizontal="center" vertical="top"/>
    </xf>
    <xf numFmtId="9" fontId="0" fillId="0" borderId="8" xfId="2" applyFont="1" applyFill="1" applyBorder="1" applyAlignment="1">
      <alignment horizontal="center" vertical="top"/>
    </xf>
    <xf numFmtId="9" fontId="0" fillId="0" borderId="9" xfId="2" applyFont="1" applyFill="1" applyBorder="1" applyAlignment="1">
      <alignment horizontal="center" vertical="top"/>
    </xf>
    <xf numFmtId="168" fontId="0" fillId="0" borderId="17" xfId="0" applyNumberFormat="1" applyBorder="1" applyAlignment="1">
      <alignment horizontal="center" vertical="top"/>
    </xf>
    <xf numFmtId="168" fontId="0" fillId="0" borderId="18" xfId="0" applyNumberFormat="1" applyBorder="1" applyAlignment="1">
      <alignment horizontal="center" vertical="top"/>
    </xf>
    <xf numFmtId="3" fontId="11" fillId="15" borderId="2" xfId="0" applyNumberFormat="1" applyFont="1" applyFill="1" applyBorder="1" applyAlignment="1">
      <alignment horizontal="center" vertical="top"/>
    </xf>
    <xf numFmtId="166" fontId="11" fillId="15" borderId="2" xfId="1" applyNumberFormat="1" applyFont="1" applyFill="1" applyBorder="1" applyAlignment="1">
      <alignment horizontal="center" vertical="top"/>
    </xf>
    <xf numFmtId="166" fontId="0" fillId="0" borderId="17" xfId="1" applyNumberFormat="1" applyFont="1" applyBorder="1" applyAlignment="1">
      <alignment horizontal="center" vertical="top"/>
    </xf>
    <xf numFmtId="166" fontId="0" fillId="0" borderId="18" xfId="1" applyNumberFormat="1" applyFont="1" applyBorder="1" applyAlignment="1">
      <alignment horizontal="center" vertical="top"/>
    </xf>
    <xf numFmtId="0" fontId="9" fillId="5" borderId="1" xfId="8" applyFont="1" applyFill="1" applyBorder="1" applyAlignment="1">
      <alignment horizontal="center"/>
    </xf>
    <xf numFmtId="166" fontId="16" fillId="13" borderId="1" xfId="1" applyNumberFormat="1" applyFont="1" applyFill="1" applyBorder="1" applyAlignment="1">
      <alignment horizontal="center" vertical="top"/>
    </xf>
    <xf numFmtId="0" fontId="21" fillId="5" borderId="11" xfId="0" applyFont="1" applyFill="1" applyBorder="1" applyAlignment="1">
      <alignment horizontal="right" vertical="center"/>
    </xf>
    <xf numFmtId="0" fontId="0" fillId="5" borderId="1" xfId="0" applyFill="1" applyBorder="1" applyAlignment="1">
      <alignment horizontal="center" vertical="top"/>
    </xf>
    <xf numFmtId="3" fontId="0" fillId="0" borderId="0" xfId="0" applyNumberFormat="1">
      <alignment vertical="top"/>
    </xf>
    <xf numFmtId="166" fontId="16" fillId="13" borderId="1" xfId="1" applyNumberFormat="1" applyFont="1" applyFill="1" applyBorder="1" applyAlignment="1">
      <alignment horizontal="center" vertical="center"/>
    </xf>
    <xf numFmtId="1" fontId="16" fillId="13" borderId="1" xfId="0" quotePrefix="1" applyNumberFormat="1" applyFont="1" applyFill="1" applyBorder="1" applyAlignment="1">
      <alignment horizontal="center" vertical="center"/>
    </xf>
    <xf numFmtId="9" fontId="16" fillId="0" borderId="1" xfId="2" applyFont="1" applyFill="1" applyBorder="1" applyAlignment="1">
      <alignment horizontal="center" vertical="center"/>
    </xf>
    <xf numFmtId="168" fontId="16" fillId="13" borderId="1" xfId="1" applyNumberFormat="1" applyFont="1" applyFill="1" applyBorder="1" applyAlignment="1">
      <alignment horizontal="center" vertical="center"/>
    </xf>
    <xf numFmtId="0" fontId="6" fillId="15" borderId="1" xfId="8" applyFill="1" applyBorder="1" applyAlignment="1">
      <alignment horizontal="center"/>
    </xf>
    <xf numFmtId="3" fontId="6" fillId="15" borderId="1" xfId="8" applyNumberFormat="1" applyFill="1" applyBorder="1" applyAlignment="1">
      <alignment horizontal="center"/>
    </xf>
    <xf numFmtId="167" fontId="6" fillId="15" borderId="1" xfId="8" applyNumberFormat="1" applyFill="1" applyBorder="1" applyAlignment="1">
      <alignment horizontal="center"/>
    </xf>
    <xf numFmtId="168" fontId="6" fillId="15" borderId="1" xfId="8" applyNumberFormat="1" applyFill="1" applyBorder="1" applyAlignment="1">
      <alignment horizontal="center"/>
    </xf>
    <xf numFmtId="164" fontId="6" fillId="15" borderId="1" xfId="8" applyNumberFormat="1" applyFill="1" applyBorder="1" applyAlignment="1">
      <alignment horizontal="center"/>
    </xf>
    <xf numFmtId="2" fontId="6" fillId="0" borderId="1" xfId="8" applyNumberFormat="1" applyBorder="1" applyAlignment="1">
      <alignment horizontal="center"/>
    </xf>
    <xf numFmtId="3" fontId="6" fillId="0" borderId="0" xfId="8" applyNumberFormat="1" applyAlignment="1">
      <alignment horizontal="center"/>
    </xf>
    <xf numFmtId="164" fontId="16" fillId="0" borderId="1" xfId="2" applyNumberFormat="1" applyFont="1" applyFill="1" applyBorder="1" applyAlignment="1">
      <alignment horizontal="center" vertical="top"/>
    </xf>
    <xf numFmtId="164" fontId="0" fillId="0" borderId="8" xfId="2" applyNumberFormat="1" applyFont="1" applyFill="1" applyBorder="1" applyAlignment="1">
      <alignment horizontal="center" vertical="top"/>
    </xf>
    <xf numFmtId="164" fontId="0" fillId="0" borderId="9" xfId="2" applyNumberFormat="1" applyFont="1" applyFill="1" applyBorder="1" applyAlignment="1">
      <alignment horizontal="center" vertical="top"/>
    </xf>
    <xf numFmtId="0" fontId="6" fillId="0" borderId="19" xfId="8" applyBorder="1"/>
    <xf numFmtId="0" fontId="6" fillId="0" borderId="13" xfId="8" applyBorder="1"/>
    <xf numFmtId="0" fontId="6" fillId="0" borderId="14" xfId="8" applyBorder="1"/>
    <xf numFmtId="0" fontId="6" fillId="0" borderId="10" xfId="8" applyBorder="1"/>
    <xf numFmtId="0" fontId="6" fillId="0" borderId="14" xfId="8" applyBorder="1" applyAlignment="1">
      <alignment horizontal="center"/>
    </xf>
    <xf numFmtId="0" fontId="9" fillId="7" borderId="14" xfId="8" applyFont="1" applyFill="1" applyBorder="1" applyAlignment="1">
      <alignment horizontal="center"/>
    </xf>
    <xf numFmtId="0" fontId="6" fillId="5" borderId="20" xfId="8" applyFill="1" applyBorder="1" applyAlignment="1">
      <alignment horizontal="center"/>
    </xf>
    <xf numFmtId="0" fontId="6" fillId="15" borderId="20" xfId="8" applyFill="1" applyBorder="1" applyAlignment="1">
      <alignment horizontal="center"/>
    </xf>
    <xf numFmtId="164" fontId="6" fillId="0" borderId="0" xfId="8" applyNumberFormat="1" applyAlignment="1">
      <alignment horizontal="center"/>
    </xf>
    <xf numFmtId="0" fontId="6" fillId="0" borderId="15" xfId="8" applyBorder="1"/>
    <xf numFmtId="0" fontId="6" fillId="0" borderId="21" xfId="8" applyBorder="1"/>
    <xf numFmtId="0" fontId="6" fillId="0" borderId="16" xfId="8" applyBorder="1"/>
    <xf numFmtId="0" fontId="24" fillId="0" borderId="12" xfId="8" applyFont="1" applyBorder="1"/>
    <xf numFmtId="167" fontId="6" fillId="0" borderId="1" xfId="8" applyNumberFormat="1" applyBorder="1" applyAlignment="1">
      <alignment horizontal="center"/>
    </xf>
    <xf numFmtId="0" fontId="16" fillId="10" borderId="2" xfId="0" applyFont="1" applyFill="1" applyBorder="1" applyAlignment="1">
      <alignment horizontal="center" vertical="center"/>
    </xf>
    <xf numFmtId="0" fontId="16" fillId="10" borderId="3" xfId="0" applyFont="1" applyFill="1" applyBorder="1" applyAlignment="1">
      <alignment horizontal="center" vertical="center"/>
    </xf>
    <xf numFmtId="0" fontId="23" fillId="16" borderId="4" xfId="0" applyFont="1" applyFill="1" applyBorder="1" applyAlignment="1">
      <alignment horizontal="left" vertical="center"/>
    </xf>
    <xf numFmtId="0" fontId="0" fillId="0" borderId="0" xfId="0" applyAlignment="1"/>
    <xf numFmtId="0" fontId="25" fillId="0" borderId="0" xfId="0" applyFont="1" applyAlignment="1">
      <alignment horizontal="right"/>
    </xf>
    <xf numFmtId="3" fontId="25" fillId="15" borderId="0" xfId="0" applyNumberFormat="1" applyFont="1" applyFill="1" applyAlignment="1">
      <alignment horizontal="center"/>
    </xf>
    <xf numFmtId="0" fontId="25" fillId="0" borderId="0" xfId="0" quotePrefix="1" applyFont="1" applyAlignment="1"/>
    <xf numFmtId="0" fontId="25" fillId="0" borderId="0" xfId="0" applyFont="1" applyAlignment="1"/>
    <xf numFmtId="0" fontId="25" fillId="15" borderId="0" xfId="0" applyFont="1" applyFill="1" applyAlignment="1">
      <alignment horizontal="center"/>
    </xf>
    <xf numFmtId="0" fontId="25" fillId="0" borderId="0" xfId="0" applyFont="1" applyAlignment="1">
      <alignment horizontal="center"/>
    </xf>
    <xf numFmtId="0" fontId="25" fillId="12" borderId="0" xfId="0" applyFont="1" applyFill="1" applyAlignment="1">
      <alignment horizontal="center"/>
    </xf>
    <xf numFmtId="3" fontId="25" fillId="12" borderId="0" xfId="0" applyNumberFormat="1" applyFont="1" applyFill="1" applyAlignment="1">
      <alignment horizontal="center"/>
    </xf>
    <xf numFmtId="0" fontId="24" fillId="0" borderId="22" xfId="8" applyFont="1" applyBorder="1"/>
    <xf numFmtId="0" fontId="6" fillId="0" borderId="23" xfId="8" applyBorder="1"/>
    <xf numFmtId="0" fontId="25" fillId="0" borderId="24" xfId="0" applyFont="1" applyBorder="1" applyAlignment="1"/>
    <xf numFmtId="0" fontId="6" fillId="0" borderId="24" xfId="8" applyBorder="1"/>
    <xf numFmtId="0" fontId="6" fillId="0" borderId="25" xfId="8" applyBorder="1"/>
    <xf numFmtId="0" fontId="6" fillId="0" borderId="26" xfId="8" applyBorder="1"/>
    <xf numFmtId="0" fontId="25" fillId="21" borderId="0" xfId="0" applyFont="1" applyFill="1" applyAlignment="1">
      <alignment horizontal="center"/>
    </xf>
    <xf numFmtId="1" fontId="6" fillId="21" borderId="0" xfId="8" applyNumberFormat="1" applyFill="1" applyAlignment="1">
      <alignment horizontal="center" vertical="center"/>
    </xf>
    <xf numFmtId="0" fontId="21" fillId="0" borderId="0" xfId="0" applyFont="1" applyAlignment="1">
      <alignment horizontal="right" vertical="center" wrapText="1"/>
    </xf>
    <xf numFmtId="3" fontId="16" fillId="14" borderId="1" xfId="0" applyNumberFormat="1" applyFont="1" applyFill="1" applyBorder="1" applyAlignment="1">
      <alignment horizontal="center" vertical="center"/>
    </xf>
    <xf numFmtId="0" fontId="21" fillId="0" borderId="0" xfId="0" applyFont="1" applyAlignment="1">
      <alignment horizontal="center" vertical="center" wrapText="1"/>
    </xf>
    <xf numFmtId="9" fontId="0" fillId="0" borderId="27" xfId="2" applyFont="1" applyFill="1" applyBorder="1" applyAlignment="1">
      <alignment horizontal="center" vertical="top"/>
    </xf>
    <xf numFmtId="0" fontId="4" fillId="0" borderId="0" xfId="11"/>
    <xf numFmtId="0" fontId="4" fillId="0" borderId="0" xfId="11" applyAlignment="1">
      <alignment horizontal="left" vertical="center" indent="2"/>
    </xf>
    <xf numFmtId="0" fontId="4" fillId="0" borderId="0" xfId="11" applyAlignment="1">
      <alignment horizontal="left" vertical="center" indent="1"/>
    </xf>
    <xf numFmtId="0" fontId="9" fillId="0" borderId="0" xfId="11" applyFont="1"/>
    <xf numFmtId="0" fontId="26" fillId="0" borderId="0" xfId="0" applyFont="1">
      <alignment vertical="top"/>
    </xf>
    <xf numFmtId="0" fontId="27" fillId="0" borderId="0" xfId="0" applyFont="1">
      <alignment vertical="top"/>
    </xf>
    <xf numFmtId="0" fontId="8" fillId="0" borderId="0" xfId="0" applyFont="1">
      <alignment vertical="top"/>
    </xf>
    <xf numFmtId="0" fontId="28" fillId="0" borderId="0" xfId="0" applyFont="1">
      <alignment vertical="top"/>
    </xf>
    <xf numFmtId="0" fontId="10" fillId="0" borderId="0" xfId="11" applyFont="1"/>
    <xf numFmtId="9" fontId="11" fillId="0" borderId="27" xfId="2" applyFont="1" applyFill="1" applyBorder="1" applyAlignment="1">
      <alignment horizontal="center" vertical="top"/>
    </xf>
    <xf numFmtId="0" fontId="8" fillId="0" borderId="0" xfId="0" applyFont="1" applyAlignment="1">
      <alignment horizontal="center" vertical="center"/>
    </xf>
    <xf numFmtId="168" fontId="11" fillId="6" borderId="1" xfId="0" applyNumberFormat="1" applyFont="1" applyFill="1" applyBorder="1" applyAlignment="1">
      <alignment horizontal="center" vertical="top"/>
    </xf>
    <xf numFmtId="9" fontId="0" fillId="0" borderId="0" xfId="2" applyFont="1" applyAlignment="1">
      <alignment vertical="top"/>
    </xf>
    <xf numFmtId="164" fontId="13" fillId="13" borderId="1" xfId="2" applyNumberFormat="1" applyFont="1" applyFill="1" applyBorder="1" applyAlignment="1">
      <alignment horizontal="center" vertical="center"/>
    </xf>
    <xf numFmtId="9" fontId="8" fillId="0" borderId="0" xfId="2" applyFont="1" applyAlignment="1">
      <alignment vertical="top"/>
    </xf>
    <xf numFmtId="0" fontId="11" fillId="0" borderId="0" xfId="0" applyFont="1">
      <alignment vertical="top"/>
    </xf>
    <xf numFmtId="0" fontId="8" fillId="0" borderId="0" xfId="0" applyFont="1" applyAlignment="1">
      <alignment vertical="center" wrapText="1"/>
    </xf>
    <xf numFmtId="9" fontId="16" fillId="0" borderId="0" xfId="2" applyFont="1" applyAlignment="1">
      <alignment vertical="top"/>
    </xf>
    <xf numFmtId="0" fontId="33" fillId="22" borderId="0" xfId="0" applyFont="1" applyFill="1" applyAlignment="1">
      <alignment horizontal="center" vertical="top"/>
    </xf>
    <xf numFmtId="3" fontId="0" fillId="0" borderId="27" xfId="0" applyNumberFormat="1" applyBorder="1" applyAlignment="1">
      <alignment horizontal="center" vertical="top"/>
    </xf>
    <xf numFmtId="0" fontId="34" fillId="7" borderId="0" xfId="0" applyFont="1" applyFill="1">
      <alignment vertical="top"/>
    </xf>
    <xf numFmtId="0" fontId="29" fillId="13" borderId="1" xfId="0" applyFont="1" applyFill="1" applyBorder="1" applyAlignment="1">
      <alignment horizontal="center" vertical="center"/>
    </xf>
    <xf numFmtId="0" fontId="8" fillId="0" borderId="0" xfId="0" applyFont="1" applyAlignment="1">
      <alignment horizontal="center" vertical="center" wrapText="1"/>
    </xf>
    <xf numFmtId="172" fontId="21" fillId="0" borderId="0" xfId="12" applyNumberFormat="1" applyFont="1" applyAlignment="1">
      <alignment vertical="top"/>
    </xf>
    <xf numFmtId="0" fontId="21" fillId="13" borderId="11" xfId="0" applyFont="1" applyFill="1" applyBorder="1" applyAlignment="1">
      <alignment horizontal="center" vertical="center" wrapText="1"/>
    </xf>
    <xf numFmtId="4" fontId="21" fillId="0" borderId="0" xfId="0" applyNumberFormat="1" applyFont="1" applyAlignment="1">
      <alignment horizontal="center" vertical="center"/>
    </xf>
    <xf numFmtId="1" fontId="25" fillId="15" borderId="0" xfId="0" applyNumberFormat="1" applyFont="1" applyFill="1" applyAlignment="1">
      <alignment horizontal="center"/>
    </xf>
    <xf numFmtId="2" fontId="0" fillId="0" borderId="0" xfId="0" applyNumberFormat="1" applyAlignment="1"/>
    <xf numFmtId="2" fontId="0" fillId="0" borderId="0" xfId="0" applyNumberFormat="1">
      <alignment vertical="top"/>
    </xf>
    <xf numFmtId="1" fontId="16" fillId="0" borderId="0" xfId="0" applyNumberFormat="1" applyFont="1">
      <alignment vertical="top"/>
    </xf>
    <xf numFmtId="171" fontId="16" fillId="11" borderId="1" xfId="1" applyNumberFormat="1" applyFont="1" applyFill="1" applyBorder="1" applyAlignment="1">
      <alignment horizontal="center" vertical="top"/>
    </xf>
    <xf numFmtId="0" fontId="11" fillId="5" borderId="4" xfId="0" applyFont="1" applyFill="1" applyBorder="1" applyAlignment="1">
      <alignment horizontal="center" vertical="center"/>
    </xf>
    <xf numFmtId="0" fontId="11" fillId="12" borderId="4" xfId="0" applyFont="1" applyFill="1" applyBorder="1" applyAlignment="1">
      <alignment horizontal="center" vertical="top"/>
    </xf>
    <xf numFmtId="0" fontId="11" fillId="23" borderId="28"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1" fillId="11" borderId="18" xfId="0" applyFont="1" applyFill="1" applyBorder="1" applyAlignment="1">
      <alignment horizontal="center" vertical="center" wrapText="1"/>
    </xf>
    <xf numFmtId="168" fontId="0" fillId="0" borderId="20" xfId="0" applyNumberFormat="1" applyBorder="1" applyAlignment="1">
      <alignment horizontal="center" vertical="top"/>
    </xf>
    <xf numFmtId="168" fontId="0" fillId="0" borderId="29" xfId="0" applyNumberFormat="1" applyBorder="1" applyAlignment="1">
      <alignment horizontal="center" vertical="top"/>
    </xf>
    <xf numFmtId="168" fontId="11" fillId="15" borderId="30" xfId="0" applyNumberFormat="1" applyFont="1" applyFill="1" applyBorder="1" applyAlignment="1">
      <alignment horizontal="center" vertical="top"/>
    </xf>
    <xf numFmtId="168" fontId="11" fillId="15" borderId="31" xfId="0" applyNumberFormat="1" applyFont="1" applyFill="1" applyBorder="1" applyAlignment="1">
      <alignment horizontal="center" vertical="top"/>
    </xf>
    <xf numFmtId="0" fontId="11" fillId="7" borderId="6" xfId="0" applyFont="1" applyFill="1" applyBorder="1" applyAlignment="1">
      <alignment horizontal="center" vertical="center" wrapText="1"/>
    </xf>
    <xf numFmtId="168" fontId="0" fillId="0" borderId="6" xfId="0" applyNumberFormat="1" applyBorder="1" applyAlignment="1">
      <alignment horizontal="center" vertical="top"/>
    </xf>
    <xf numFmtId="168" fontId="11" fillId="15" borderId="7" xfId="0" applyNumberFormat="1" applyFont="1" applyFill="1" applyBorder="1" applyAlignment="1">
      <alignment horizontal="center" vertical="top"/>
    </xf>
    <xf numFmtId="168" fontId="0" fillId="0" borderId="32" xfId="0" applyNumberFormat="1" applyBorder="1" applyAlignment="1">
      <alignment horizontal="center" vertical="top"/>
    </xf>
    <xf numFmtId="164" fontId="0" fillId="0" borderId="33" xfId="2" applyNumberFormat="1" applyFont="1" applyFill="1" applyBorder="1" applyAlignment="1">
      <alignment horizontal="center" vertical="top"/>
    </xf>
    <xf numFmtId="168" fontId="0" fillId="0" borderId="28" xfId="0" applyNumberFormat="1" applyBorder="1" applyAlignment="1">
      <alignment horizontal="center" vertical="top"/>
    </xf>
    <xf numFmtId="164" fontId="0" fillId="0" borderId="34" xfId="2" applyNumberFormat="1" applyFont="1" applyFill="1" applyBorder="1" applyAlignment="1">
      <alignment horizontal="center" vertical="top"/>
    </xf>
    <xf numFmtId="0" fontId="11" fillId="17" borderId="4" xfId="0" applyFont="1" applyFill="1" applyBorder="1" applyAlignment="1">
      <alignment horizontal="center" vertical="top"/>
    </xf>
    <xf numFmtId="166" fontId="0" fillId="0" borderId="28" xfId="1" applyNumberFormat="1" applyFont="1" applyBorder="1" applyAlignment="1">
      <alignment horizontal="center" vertical="top"/>
    </xf>
    <xf numFmtId="166" fontId="0" fillId="0" borderId="20" xfId="1" applyNumberFormat="1" applyFont="1" applyBorder="1" applyAlignment="1">
      <alignment horizontal="center" vertical="top"/>
    </xf>
    <xf numFmtId="166" fontId="0" fillId="0" borderId="29" xfId="1" applyNumberFormat="1" applyFont="1" applyBorder="1" applyAlignment="1">
      <alignment horizontal="center" vertical="top"/>
    </xf>
    <xf numFmtId="166" fontId="11" fillId="15" borderId="30" xfId="1" applyNumberFormat="1" applyFont="1" applyFill="1" applyBorder="1" applyAlignment="1">
      <alignment horizontal="center" vertical="top"/>
    </xf>
    <xf numFmtId="166" fontId="11" fillId="15" borderId="31" xfId="1" applyNumberFormat="1" applyFont="1" applyFill="1" applyBorder="1" applyAlignment="1">
      <alignment horizontal="center" vertical="top"/>
    </xf>
    <xf numFmtId="166" fontId="0" fillId="0" borderId="6" xfId="1" applyNumberFormat="1" applyFont="1" applyBorder="1" applyAlignment="1">
      <alignment horizontal="center" vertical="top"/>
    </xf>
    <xf numFmtId="166" fontId="11" fillId="15" borderId="7" xfId="1" applyNumberFormat="1" applyFont="1" applyFill="1" applyBorder="1" applyAlignment="1">
      <alignment horizontal="center" vertical="top"/>
    </xf>
    <xf numFmtId="166" fontId="0" fillId="0" borderId="32" xfId="1" applyNumberFormat="1" applyFont="1" applyBorder="1" applyAlignment="1">
      <alignment horizontal="center" vertical="top"/>
    </xf>
    <xf numFmtId="0" fontId="11" fillId="19" borderId="4" xfId="0" applyFont="1" applyFill="1" applyBorder="1" applyAlignment="1">
      <alignment horizontal="center" vertical="top"/>
    </xf>
    <xf numFmtId="168" fontId="11" fillId="15" borderId="35" xfId="0" applyNumberFormat="1" applyFont="1" applyFill="1" applyBorder="1" applyAlignment="1">
      <alignment horizontal="center" vertical="top"/>
    </xf>
    <xf numFmtId="168" fontId="11" fillId="15" borderId="36" xfId="0" applyNumberFormat="1" applyFont="1" applyFill="1" applyBorder="1" applyAlignment="1">
      <alignment horizontal="center" vertical="top"/>
    </xf>
    <xf numFmtId="168" fontId="11" fillId="15" borderId="37" xfId="0" applyNumberFormat="1" applyFont="1" applyFill="1" applyBorder="1" applyAlignment="1">
      <alignment horizontal="center" vertical="top"/>
    </xf>
    <xf numFmtId="3" fontId="16" fillId="11" borderId="1" xfId="0" applyNumberFormat="1" applyFont="1" applyFill="1" applyBorder="1" applyAlignment="1">
      <alignment horizontal="center" vertical="center"/>
    </xf>
    <xf numFmtId="0" fontId="36" fillId="7" borderId="0" xfId="0" applyFont="1" applyFill="1">
      <alignment vertical="top"/>
    </xf>
    <xf numFmtId="0" fontId="37" fillId="0" borderId="0" xfId="0" applyFont="1">
      <alignment vertical="top"/>
    </xf>
    <xf numFmtId="0" fontId="11" fillId="2" borderId="1" xfId="0" applyFont="1" applyFill="1" applyBorder="1" applyAlignment="1">
      <alignment horizontal="center" vertical="top"/>
    </xf>
    <xf numFmtId="2" fontId="29" fillId="13" borderId="1" xfId="0" applyNumberFormat="1" applyFont="1" applyFill="1" applyBorder="1" applyAlignment="1">
      <alignment horizontal="center" vertical="center"/>
    </xf>
    <xf numFmtId="0" fontId="21" fillId="0" borderId="38" xfId="0" applyFont="1" applyBorder="1" applyAlignment="1">
      <alignment horizontal="right" vertical="center" wrapText="1"/>
    </xf>
    <xf numFmtId="167" fontId="16" fillId="0" borderId="0" xfId="0" applyNumberFormat="1" applyFont="1">
      <alignment vertical="top"/>
    </xf>
    <xf numFmtId="1" fontId="0" fillId="0" borderId="0" xfId="0" applyNumberFormat="1">
      <alignment vertical="top"/>
    </xf>
    <xf numFmtId="0" fontId="8" fillId="0" borderId="0" xfId="0" applyFont="1" applyAlignment="1"/>
    <xf numFmtId="1" fontId="0" fillId="0" borderId="0" xfId="0" applyNumberFormat="1" applyAlignment="1"/>
    <xf numFmtId="1" fontId="8" fillId="0" borderId="0" xfId="0" applyNumberFormat="1" applyFont="1" applyAlignment="1"/>
    <xf numFmtId="0" fontId="30" fillId="0" borderId="7" xfId="0" applyFont="1" applyBorder="1">
      <alignment vertical="top"/>
    </xf>
    <xf numFmtId="0" fontId="37" fillId="0" borderId="7" xfId="0" applyFont="1" applyBorder="1">
      <alignment vertical="top"/>
    </xf>
    <xf numFmtId="0" fontId="30" fillId="0" borderId="0" xfId="0" applyFont="1">
      <alignment vertical="top"/>
    </xf>
    <xf numFmtId="0" fontId="30" fillId="0" borderId="1" xfId="0" applyFont="1" applyBorder="1">
      <alignment vertical="top"/>
    </xf>
    <xf numFmtId="165" fontId="30" fillId="0" borderId="1" xfId="1" applyNumberFormat="1" applyFont="1" applyBorder="1" applyAlignment="1">
      <alignment vertical="top"/>
    </xf>
    <xf numFmtId="165" fontId="30" fillId="0" borderId="2" xfId="1" applyNumberFormat="1" applyFont="1" applyBorder="1" applyAlignment="1">
      <alignment vertical="top"/>
    </xf>
    <xf numFmtId="165" fontId="30" fillId="0" borderId="1" xfId="0" applyNumberFormat="1" applyFont="1" applyBorder="1">
      <alignment vertical="top"/>
    </xf>
    <xf numFmtId="165" fontId="30" fillId="0" borderId="0" xfId="0" applyNumberFormat="1" applyFont="1">
      <alignment vertical="top"/>
    </xf>
    <xf numFmtId="0" fontId="38" fillId="0" borderId="0" xfId="0" applyFont="1">
      <alignment vertical="top"/>
    </xf>
    <xf numFmtId="0" fontId="39" fillId="0" borderId="0" xfId="0" applyFont="1">
      <alignment vertical="top"/>
    </xf>
    <xf numFmtId="14" fontId="30" fillId="0" borderId="0" xfId="0" applyNumberFormat="1" applyFont="1" applyAlignment="1">
      <alignment horizontal="right" vertical="center"/>
    </xf>
    <xf numFmtId="173" fontId="8" fillId="0" borderId="0" xfId="0" applyNumberFormat="1" applyFont="1">
      <alignment vertical="top"/>
    </xf>
    <xf numFmtId="173" fontId="0" fillId="0" borderId="0" xfId="0" applyNumberFormat="1" applyAlignment="1">
      <alignment horizontal="center" vertical="top"/>
    </xf>
    <xf numFmtId="173" fontId="8" fillId="0" borderId="1" xfId="0" applyNumberFormat="1" applyFont="1" applyBorder="1" applyAlignment="1">
      <alignment horizontal="center" vertical="top"/>
    </xf>
    <xf numFmtId="0" fontId="30" fillId="0" borderId="1" xfId="0" applyFont="1" applyBorder="1" applyAlignment="1">
      <alignment horizontal="center"/>
    </xf>
    <xf numFmtId="0" fontId="30" fillId="0" borderId="1" xfId="0" applyFont="1" applyBorder="1" applyAlignment="1">
      <alignment horizontal="center" vertical="top"/>
    </xf>
    <xf numFmtId="0" fontId="40" fillId="0" borderId="7" xfId="0" applyFont="1" applyBorder="1">
      <alignment vertical="top"/>
    </xf>
    <xf numFmtId="172" fontId="30" fillId="0" borderId="1" xfId="12" applyNumberFormat="1" applyFont="1" applyBorder="1" applyAlignment="1">
      <alignment horizontal="center" vertical="top"/>
    </xf>
    <xf numFmtId="2" fontId="38" fillId="0" borderId="0" xfId="0" applyNumberFormat="1" applyFont="1">
      <alignment vertical="top"/>
    </xf>
    <xf numFmtId="172" fontId="38" fillId="0" borderId="0" xfId="0" applyNumberFormat="1" applyFont="1">
      <alignment vertical="top"/>
    </xf>
    <xf numFmtId="2" fontId="16" fillId="0" borderId="1" xfId="0" applyNumberFormat="1" applyFont="1" applyBorder="1">
      <alignment vertical="top"/>
    </xf>
    <xf numFmtId="0" fontId="0" fillId="0" borderId="7" xfId="0" applyBorder="1">
      <alignment vertical="top"/>
    </xf>
    <xf numFmtId="172" fontId="29" fillId="0" borderId="1" xfId="12" applyNumberFormat="1" applyFont="1" applyBorder="1" applyAlignment="1">
      <alignment horizontal="center" vertical="top"/>
    </xf>
    <xf numFmtId="0" fontId="38" fillId="0" borderId="4" xfId="0" applyFont="1" applyBorder="1" applyAlignment="1">
      <alignment horizontal="center" vertical="top"/>
    </xf>
    <xf numFmtId="0" fontId="38" fillId="0" borderId="6" xfId="0" applyFont="1" applyBorder="1" applyAlignment="1">
      <alignment horizontal="center" vertical="top"/>
    </xf>
    <xf numFmtId="0" fontId="38" fillId="0" borderId="5" xfId="0" applyFont="1" applyBorder="1" applyAlignment="1">
      <alignment horizontal="center" vertical="top"/>
    </xf>
    <xf numFmtId="171" fontId="30" fillId="0" borderId="1" xfId="0" applyNumberFormat="1" applyFont="1" applyBorder="1">
      <alignment vertical="top"/>
    </xf>
    <xf numFmtId="174" fontId="30" fillId="0" borderId="1" xfId="0" applyNumberFormat="1" applyFont="1" applyBorder="1">
      <alignment vertical="top"/>
    </xf>
    <xf numFmtId="0" fontId="0" fillId="0" borderId="39" xfId="0" applyBorder="1">
      <alignment vertical="top"/>
    </xf>
    <xf numFmtId="0" fontId="39" fillId="0" borderId="39" xfId="0" applyFont="1" applyBorder="1">
      <alignment vertical="top"/>
    </xf>
    <xf numFmtId="0" fontId="30" fillId="0" borderId="39" xfId="0" applyFont="1" applyBorder="1">
      <alignment vertical="top"/>
    </xf>
    <xf numFmtId="0" fontId="40" fillId="0" borderId="40" xfId="0" applyFont="1" applyBorder="1">
      <alignment vertical="top"/>
    </xf>
    <xf numFmtId="173" fontId="0" fillId="0" borderId="39" xfId="0" applyNumberFormat="1" applyBorder="1" applyAlignment="1">
      <alignment horizontal="center" vertical="top"/>
    </xf>
    <xf numFmtId="170" fontId="30" fillId="0" borderId="1" xfId="0" applyNumberFormat="1" applyFont="1" applyBorder="1">
      <alignment vertical="top"/>
    </xf>
    <xf numFmtId="167" fontId="30" fillId="0" borderId="1" xfId="1" applyNumberFormat="1" applyFont="1" applyBorder="1" applyAlignment="1">
      <alignment vertical="top"/>
    </xf>
    <xf numFmtId="167" fontId="30" fillId="0" borderId="1" xfId="0" applyNumberFormat="1" applyFont="1" applyBorder="1">
      <alignment vertical="top"/>
    </xf>
    <xf numFmtId="1" fontId="30" fillId="0" borderId="1" xfId="1" applyNumberFormat="1" applyFont="1" applyBorder="1" applyAlignment="1">
      <alignment vertical="top"/>
    </xf>
    <xf numFmtId="1" fontId="30" fillId="0" borderId="0" xfId="0" applyNumberFormat="1" applyFont="1">
      <alignment vertical="top"/>
    </xf>
    <xf numFmtId="1" fontId="30" fillId="0" borderId="1" xfId="0" applyNumberFormat="1" applyFont="1" applyBorder="1">
      <alignment vertical="top"/>
    </xf>
    <xf numFmtId="0" fontId="38" fillId="0" borderId="0" xfId="0" applyFont="1" applyAlignment="1">
      <alignment horizontal="right" vertical="top"/>
    </xf>
    <xf numFmtId="170" fontId="30" fillId="0" borderId="0" xfId="0" applyNumberFormat="1" applyFont="1">
      <alignment vertical="top"/>
    </xf>
    <xf numFmtId="165" fontId="0" fillId="0" borderId="0" xfId="0" applyNumberFormat="1">
      <alignment vertical="top"/>
    </xf>
    <xf numFmtId="165" fontId="30" fillId="0" borderId="6" xfId="0" applyNumberFormat="1" applyFont="1" applyBorder="1">
      <alignment vertical="top"/>
    </xf>
    <xf numFmtId="165" fontId="30" fillId="0" borderId="5" xfId="0" applyNumberFormat="1" applyFont="1" applyBorder="1">
      <alignment vertical="top"/>
    </xf>
    <xf numFmtId="173" fontId="0" fillId="0" borderId="1" xfId="0" applyNumberFormat="1" applyBorder="1" applyAlignment="1">
      <alignment horizontal="center" vertical="top"/>
    </xf>
    <xf numFmtId="2" fontId="38" fillId="0" borderId="1" xfId="0" applyNumberFormat="1" applyFont="1" applyBorder="1">
      <alignment vertical="top"/>
    </xf>
    <xf numFmtId="172" fontId="38" fillId="0" borderId="1" xfId="0" applyNumberFormat="1" applyFont="1" applyBorder="1">
      <alignment vertical="top"/>
    </xf>
    <xf numFmtId="0" fontId="3" fillId="0" borderId="0" xfId="13"/>
    <xf numFmtId="44" fontId="0" fillId="0" borderId="0" xfId="14" applyFont="1"/>
    <xf numFmtId="44" fontId="3" fillId="0" borderId="0" xfId="13" applyNumberFormat="1"/>
    <xf numFmtId="44" fontId="0" fillId="0" borderId="0" xfId="14" applyFont="1" applyAlignment="1"/>
    <xf numFmtId="175" fontId="41" fillId="0" borderId="0" xfId="14" applyNumberFormat="1" applyFont="1"/>
    <xf numFmtId="0" fontId="3" fillId="0" borderId="0" xfId="13" applyAlignment="1">
      <alignment horizontal="center"/>
    </xf>
    <xf numFmtId="175" fontId="0" fillId="0" borderId="0" xfId="14" applyNumberFormat="1" applyFont="1"/>
    <xf numFmtId="9" fontId="0" fillId="22" borderId="0" xfId="15" applyFont="1" applyFill="1"/>
    <xf numFmtId="1" fontId="3" fillId="0" borderId="0" xfId="13" applyNumberFormat="1"/>
    <xf numFmtId="9" fontId="0" fillId="0" borderId="0" xfId="15" applyFont="1"/>
    <xf numFmtId="10" fontId="0" fillId="0" borderId="0" xfId="14" applyNumberFormat="1" applyFont="1"/>
    <xf numFmtId="16" fontId="3" fillId="0" borderId="0" xfId="13" applyNumberFormat="1"/>
    <xf numFmtId="1" fontId="3" fillId="22" borderId="0" xfId="13" applyNumberFormat="1" applyFill="1"/>
    <xf numFmtId="2" fontId="3" fillId="0" borderId="0" xfId="13" applyNumberFormat="1"/>
    <xf numFmtId="0" fontId="11" fillId="2" borderId="4" xfId="0" applyFont="1" applyFill="1" applyBorder="1" applyAlignment="1">
      <alignment horizontal="center" vertical="top"/>
    </xf>
    <xf numFmtId="168" fontId="11" fillId="15" borderId="1" xfId="0" applyNumberFormat="1" applyFont="1" applyFill="1" applyBorder="1" applyAlignment="1">
      <alignment horizontal="center" vertical="top"/>
    </xf>
    <xf numFmtId="9" fontId="8" fillId="0" borderId="0" xfId="2" applyFont="1" applyAlignment="1">
      <alignment horizontal="center" vertical="top"/>
    </xf>
    <xf numFmtId="0" fontId="31" fillId="13" borderId="4" xfId="0" applyFont="1" applyFill="1" applyBorder="1" applyAlignment="1">
      <alignment horizontal="center" vertical="center" wrapText="1"/>
    </xf>
    <xf numFmtId="0" fontId="41" fillId="0" borderId="10" xfId="8" applyFont="1" applyBorder="1"/>
    <xf numFmtId="0" fontId="42" fillId="0" borderId="0" xfId="0" applyFont="1" applyAlignment="1">
      <alignment vertical="center"/>
    </xf>
    <xf numFmtId="14" fontId="4" fillId="0" borderId="0" xfId="11" applyNumberFormat="1"/>
    <xf numFmtId="1" fontId="21" fillId="0" borderId="0" xfId="0" applyNumberFormat="1" applyFont="1">
      <alignment vertical="top"/>
    </xf>
    <xf numFmtId="0" fontId="33" fillId="0" borderId="0" xfId="0" applyFont="1" applyAlignment="1">
      <alignment horizontal="center" vertical="top"/>
    </xf>
    <xf numFmtId="9" fontId="30" fillId="22" borderId="0" xfId="2" applyFont="1" applyFill="1" applyAlignment="1">
      <alignment vertical="top"/>
    </xf>
    <xf numFmtId="1" fontId="11" fillId="0" borderId="0" xfId="0" applyNumberFormat="1" applyFont="1">
      <alignment vertical="top"/>
    </xf>
    <xf numFmtId="165" fontId="38" fillId="0" borderId="1" xfId="0" applyNumberFormat="1" applyFont="1" applyBorder="1">
      <alignment vertical="top"/>
    </xf>
    <xf numFmtId="1" fontId="38" fillId="0" borderId="1" xfId="0" applyNumberFormat="1" applyFont="1" applyBorder="1">
      <alignment vertical="top"/>
    </xf>
    <xf numFmtId="164" fontId="11" fillId="7" borderId="0" xfId="0" applyNumberFormat="1" applyFont="1" applyFill="1">
      <alignment vertical="top"/>
    </xf>
    <xf numFmtId="0" fontId="44" fillId="0" borderId="38" xfId="0" applyFont="1" applyBorder="1" applyAlignment="1">
      <alignment horizontal="right" vertical="center" wrapText="1"/>
    </xf>
    <xf numFmtId="0" fontId="44" fillId="0" borderId="0" xfId="0" applyFont="1" applyAlignment="1">
      <alignment horizontal="right" vertical="center" wrapText="1"/>
    </xf>
    <xf numFmtId="171" fontId="16" fillId="13" borderId="1" xfId="1" applyNumberFormat="1" applyFont="1" applyFill="1" applyBorder="1" applyAlignment="1">
      <alignment horizontal="center" vertical="top"/>
    </xf>
    <xf numFmtId="170" fontId="16" fillId="11" borderId="1" xfId="0" applyNumberFormat="1" applyFont="1" applyFill="1" applyBorder="1" applyAlignment="1">
      <alignment horizontal="center" vertical="top"/>
    </xf>
    <xf numFmtId="0" fontId="23" fillId="6" borderId="4" xfId="0" applyFont="1" applyFill="1" applyBorder="1" applyAlignment="1">
      <alignment horizontal="center" vertical="center"/>
    </xf>
    <xf numFmtId="0" fontId="16" fillId="10" borderId="4" xfId="0" applyFont="1" applyFill="1" applyBorder="1" applyAlignment="1">
      <alignment horizontal="center" vertical="center"/>
    </xf>
    <xf numFmtId="0" fontId="16" fillId="10" borderId="4" xfId="0" applyFont="1" applyFill="1" applyBorder="1" applyAlignment="1">
      <alignment horizontal="center" vertical="center" wrapText="1"/>
    </xf>
    <xf numFmtId="0" fontId="16" fillId="10" borderId="40" xfId="0" applyFont="1" applyFill="1" applyBorder="1" applyAlignment="1">
      <alignment horizontal="center" vertical="center" wrapText="1"/>
    </xf>
    <xf numFmtId="0" fontId="16" fillId="10" borderId="41" xfId="0" applyFont="1" applyFill="1" applyBorder="1" applyAlignment="1">
      <alignment horizontal="center" vertical="center"/>
    </xf>
    <xf numFmtId="0" fontId="16" fillId="16" borderId="42" xfId="0" applyFont="1" applyFill="1" applyBorder="1" applyAlignment="1">
      <alignment horizontal="center" vertical="center"/>
    </xf>
    <xf numFmtId="0" fontId="16" fillId="16" borderId="43" xfId="0" applyFont="1" applyFill="1" applyBorder="1" applyAlignment="1">
      <alignment horizontal="center" vertical="center"/>
    </xf>
    <xf numFmtId="0" fontId="16" fillId="16" borderId="14" xfId="0" applyFont="1" applyFill="1" applyBorder="1">
      <alignment vertical="top"/>
    </xf>
    <xf numFmtId="0" fontId="16" fillId="16" borderId="10" xfId="0" applyFont="1" applyFill="1" applyBorder="1">
      <alignment vertical="top"/>
    </xf>
    <xf numFmtId="0" fontId="16" fillId="16" borderId="44" xfId="0" applyFont="1" applyFill="1" applyBorder="1">
      <alignment vertical="top"/>
    </xf>
    <xf numFmtId="0" fontId="16" fillId="16" borderId="45" xfId="0" applyFont="1" applyFill="1" applyBorder="1">
      <alignment vertical="top"/>
    </xf>
    <xf numFmtId="0" fontId="29" fillId="13" borderId="47" xfId="0" applyFont="1" applyFill="1" applyBorder="1" applyAlignment="1">
      <alignment horizontal="center" vertical="center" wrapText="1"/>
    </xf>
    <xf numFmtId="0" fontId="32" fillId="13" borderId="1" xfId="0" applyFont="1" applyFill="1" applyBorder="1" applyAlignment="1">
      <alignment horizontal="center" vertical="center"/>
    </xf>
    <xf numFmtId="166" fontId="32" fillId="13" borderId="1" xfId="1" applyNumberFormat="1" applyFont="1" applyFill="1" applyBorder="1" applyAlignment="1">
      <alignment horizontal="center" vertical="top"/>
    </xf>
    <xf numFmtId="164" fontId="32" fillId="0" borderId="1" xfId="2" applyNumberFormat="1" applyFont="1" applyFill="1" applyBorder="1" applyAlignment="1">
      <alignment horizontal="center" vertical="top"/>
    </xf>
    <xf numFmtId="168" fontId="32" fillId="13" borderId="1" xfId="1" applyNumberFormat="1" applyFont="1" applyFill="1" applyBorder="1" applyAlignment="1">
      <alignment horizontal="center" vertical="top"/>
    </xf>
    <xf numFmtId="0" fontId="45" fillId="0" borderId="6" xfId="0" applyFont="1" applyBorder="1" applyAlignment="1">
      <alignment horizontal="center" vertical="center"/>
    </xf>
    <xf numFmtId="0" fontId="46" fillId="16" borderId="7" xfId="0" applyFont="1" applyFill="1" applyBorder="1">
      <alignment vertical="top"/>
    </xf>
    <xf numFmtId="0" fontId="46" fillId="0" borderId="0" xfId="0" applyFont="1" applyAlignment="1">
      <alignment horizontal="center" vertical="top"/>
    </xf>
    <xf numFmtId="0" fontId="47" fillId="0" borderId="6" xfId="3" applyFont="1" applyBorder="1" applyAlignment="1">
      <alignment horizontal="center" vertical="center"/>
    </xf>
    <xf numFmtId="0" fontId="46" fillId="0" borderId="6" xfId="0" applyFont="1" applyBorder="1" applyAlignment="1">
      <alignment horizontal="center" vertical="center"/>
    </xf>
    <xf numFmtId="164" fontId="47" fillId="0" borderId="6" xfId="2" applyNumberFormat="1" applyFont="1" applyBorder="1" applyAlignment="1">
      <alignment horizontal="center" vertical="center"/>
    </xf>
    <xf numFmtId="0" fontId="46" fillId="16" borderId="0" xfId="0" applyFont="1" applyFill="1">
      <alignment vertical="top"/>
    </xf>
    <xf numFmtId="2" fontId="46" fillId="0" borderId="6" xfId="0" applyNumberFormat="1" applyFont="1" applyBorder="1" applyAlignment="1">
      <alignment horizontal="center" vertical="center"/>
    </xf>
    <xf numFmtId="0" fontId="46" fillId="0" borderId="0" xfId="0" applyFont="1">
      <alignment vertical="top"/>
    </xf>
    <xf numFmtId="0" fontId="46" fillId="16" borderId="6" xfId="0" applyFont="1" applyFill="1" applyBorder="1">
      <alignment vertical="top"/>
    </xf>
    <xf numFmtId="0" fontId="46" fillId="0" borderId="6" xfId="0" applyFont="1" applyBorder="1" applyAlignment="1">
      <alignment horizontal="center" vertical="center" wrapText="1"/>
    </xf>
    <xf numFmtId="0" fontId="31" fillId="13" borderId="20" xfId="3" applyFont="1" applyFill="1" applyBorder="1" applyAlignment="1">
      <alignment horizontal="center" vertical="center"/>
    </xf>
    <xf numFmtId="0" fontId="31" fillId="13" borderId="1" xfId="3" applyFont="1" applyFill="1" applyBorder="1" applyAlignment="1">
      <alignment horizontal="center" vertical="center"/>
    </xf>
    <xf numFmtId="0" fontId="31" fillId="13" borderId="29" xfId="3" applyFont="1" applyFill="1" applyBorder="1" applyAlignment="1">
      <alignment horizontal="center" vertical="center"/>
    </xf>
    <xf numFmtId="0" fontId="16" fillId="13" borderId="20" xfId="0" applyFont="1" applyFill="1" applyBorder="1" applyAlignment="1">
      <alignment horizontal="center" vertical="center"/>
    </xf>
    <xf numFmtId="0" fontId="16" fillId="13" borderId="29" xfId="0" applyFont="1" applyFill="1" applyBorder="1" applyAlignment="1">
      <alignment horizontal="center" vertical="center"/>
    </xf>
    <xf numFmtId="0" fontId="13" fillId="13" borderId="20" xfId="3" applyFont="1" applyFill="1" applyBorder="1" applyAlignment="1">
      <alignment horizontal="center" vertical="center"/>
    </xf>
    <xf numFmtId="0" fontId="13" fillId="13" borderId="1" xfId="3" applyFont="1" applyFill="1" applyBorder="1" applyAlignment="1">
      <alignment horizontal="center" vertical="center"/>
    </xf>
    <xf numFmtId="0" fontId="13" fillId="13" borderId="29" xfId="3" applyFont="1" applyFill="1" applyBorder="1" applyAlignment="1">
      <alignment horizontal="center" vertical="center"/>
    </xf>
    <xf numFmtId="164" fontId="13" fillId="13" borderId="20" xfId="2" applyNumberFormat="1" applyFont="1" applyFill="1" applyBorder="1" applyAlignment="1">
      <alignment horizontal="center" vertical="center"/>
    </xf>
    <xf numFmtId="164" fontId="13" fillId="13" borderId="29" xfId="2" applyNumberFormat="1" applyFont="1" applyFill="1" applyBorder="1" applyAlignment="1">
      <alignment horizontal="center" vertical="center"/>
    </xf>
    <xf numFmtId="0" fontId="29" fillId="13" borderId="20" xfId="2" applyNumberFormat="1" applyFont="1" applyFill="1" applyBorder="1" applyAlignment="1">
      <alignment horizontal="center" vertical="center"/>
    </xf>
    <xf numFmtId="0" fontId="29" fillId="13" borderId="1" xfId="2" applyNumberFormat="1" applyFont="1" applyFill="1" applyBorder="1" applyAlignment="1">
      <alignment horizontal="center" vertical="center"/>
    </xf>
    <xf numFmtId="0" fontId="29" fillId="13" borderId="29" xfId="2" applyNumberFormat="1" applyFont="1" applyFill="1" applyBorder="1" applyAlignment="1">
      <alignment horizontal="center" vertical="center"/>
    </xf>
    <xf numFmtId="2" fontId="30" fillId="13" borderId="20" xfId="0" applyNumberFormat="1" applyFont="1" applyFill="1" applyBorder="1" applyAlignment="1">
      <alignment horizontal="center" vertical="center"/>
    </xf>
    <xf numFmtId="2" fontId="30" fillId="13" borderId="1" xfId="0" applyNumberFormat="1" applyFont="1" applyFill="1" applyBorder="1" applyAlignment="1">
      <alignment horizontal="center" vertical="center"/>
    </xf>
    <xf numFmtId="2" fontId="30" fillId="13" borderId="29" xfId="0" applyNumberFormat="1" applyFont="1" applyFill="1" applyBorder="1" applyAlignment="1">
      <alignment horizontal="center" vertical="center"/>
    </xf>
    <xf numFmtId="2" fontId="29" fillId="13" borderId="20" xfId="0" applyNumberFormat="1" applyFont="1" applyFill="1" applyBorder="1" applyAlignment="1">
      <alignment horizontal="center" vertical="center"/>
    </xf>
    <xf numFmtId="2" fontId="29" fillId="13" borderId="29" xfId="0" applyNumberFormat="1" applyFont="1" applyFill="1" applyBorder="1" applyAlignment="1">
      <alignment horizontal="center" vertical="center"/>
    </xf>
    <xf numFmtId="0" fontId="16" fillId="13" borderId="20"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6" fillId="13" borderId="29" xfId="0" applyFont="1" applyFill="1" applyBorder="1" applyAlignment="1">
      <alignment horizontal="center" vertical="center" wrapText="1"/>
    </xf>
    <xf numFmtId="0" fontId="29" fillId="13" borderId="20" xfId="0" applyFont="1" applyFill="1" applyBorder="1" applyAlignment="1">
      <alignment horizontal="center" vertical="center"/>
    </xf>
    <xf numFmtId="0" fontId="29" fillId="13" borderId="29" xfId="0" applyFont="1" applyFill="1" applyBorder="1" applyAlignment="1">
      <alignment horizontal="center" vertical="center"/>
    </xf>
    <xf numFmtId="0" fontId="30" fillId="13" borderId="29" xfId="0" applyFont="1" applyFill="1" applyBorder="1" applyAlignment="1">
      <alignment horizontal="center" vertical="center" wrapText="1"/>
    </xf>
    <xf numFmtId="0" fontId="16" fillId="13" borderId="44" xfId="0" applyFont="1" applyFill="1" applyBorder="1" applyAlignment="1">
      <alignment horizontal="center" vertical="center" wrapText="1"/>
    </xf>
    <xf numFmtId="0" fontId="31" fillId="13" borderId="44" xfId="0" applyFont="1" applyFill="1" applyBorder="1" applyAlignment="1">
      <alignment horizontal="center" vertical="center" wrapText="1"/>
    </xf>
    <xf numFmtId="0" fontId="31" fillId="13" borderId="29" xfId="0" applyFont="1" applyFill="1" applyBorder="1" applyAlignment="1">
      <alignment horizontal="center" vertical="center" wrapText="1"/>
    </xf>
    <xf numFmtId="0" fontId="29" fillId="13" borderId="46" xfId="0" applyFont="1" applyFill="1" applyBorder="1" applyAlignment="1">
      <alignment horizontal="center" vertical="center" wrapText="1"/>
    </xf>
    <xf numFmtId="0" fontId="29" fillId="13" borderId="9" xfId="0" applyFont="1" applyFill="1" applyBorder="1" applyAlignment="1">
      <alignment horizontal="center" vertical="center" wrapText="1"/>
    </xf>
    <xf numFmtId="0" fontId="23" fillId="13" borderId="28" xfId="0" applyFont="1" applyFill="1" applyBorder="1" applyAlignment="1">
      <alignment horizontal="center" vertical="center"/>
    </xf>
    <xf numFmtId="0" fontId="23" fillId="13" borderId="17" xfId="0" applyFont="1" applyFill="1" applyBorder="1" applyAlignment="1">
      <alignment horizontal="center" vertical="center"/>
    </xf>
    <xf numFmtId="0" fontId="23" fillId="13" borderId="18" xfId="0" applyFont="1" applyFill="1" applyBorder="1" applyAlignment="1">
      <alignment horizontal="center" vertical="center"/>
    </xf>
    <xf numFmtId="0" fontId="16" fillId="16" borderId="43" xfId="0" applyFont="1" applyFill="1" applyBorder="1">
      <alignment vertical="top"/>
    </xf>
    <xf numFmtId="0" fontId="17" fillId="5" borderId="2" xfId="0" applyFont="1" applyFill="1" applyBorder="1" applyAlignment="1">
      <alignment horizontal="center" vertical="center" wrapText="1"/>
    </xf>
    <xf numFmtId="0" fontId="16" fillId="13" borderId="28" xfId="0" applyFont="1" applyFill="1" applyBorder="1" applyAlignment="1">
      <alignment horizontal="center" vertical="center"/>
    </xf>
    <xf numFmtId="0" fontId="31" fillId="13" borderId="20" xfId="0" applyFont="1" applyFill="1" applyBorder="1" applyAlignment="1">
      <alignment horizontal="center" vertical="center"/>
    </xf>
    <xf numFmtId="0" fontId="31" fillId="13" borderId="20" xfId="0" applyFont="1" applyFill="1" applyBorder="1" applyAlignment="1">
      <alignment horizontal="center" vertical="center" wrapText="1"/>
    </xf>
    <xf numFmtId="0" fontId="29" fillId="13" borderId="20" xfId="0" applyFont="1" applyFill="1" applyBorder="1" applyAlignment="1">
      <alignment horizontal="center" vertical="center" wrapText="1"/>
    </xf>
    <xf numFmtId="0" fontId="29" fillId="13" borderId="44" xfId="0" applyFont="1" applyFill="1" applyBorder="1" applyAlignment="1">
      <alignment horizontal="center" vertical="center"/>
    </xf>
    <xf numFmtId="0" fontId="31" fillId="13" borderId="5"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6" borderId="50" xfId="0" applyFont="1" applyFill="1" applyBorder="1">
      <alignment vertical="top"/>
    </xf>
    <xf numFmtId="1" fontId="30" fillId="0" borderId="1" xfId="0" applyNumberFormat="1" applyFont="1" applyBorder="1" applyAlignment="1">
      <alignment horizontal="center" vertical="top"/>
    </xf>
    <xf numFmtId="0" fontId="16" fillId="0" borderId="29" xfId="0" applyFont="1" applyBorder="1">
      <alignment vertical="top"/>
    </xf>
    <xf numFmtId="0" fontId="29" fillId="13" borderId="44" xfId="0" applyFont="1" applyFill="1" applyBorder="1" applyAlignment="1">
      <alignment horizontal="center" vertical="center" wrapText="1"/>
    </xf>
    <xf numFmtId="3" fontId="11" fillId="15" borderId="35" xfId="0" applyNumberFormat="1" applyFont="1" applyFill="1" applyBorder="1" applyAlignment="1">
      <alignment horizontal="center" vertical="top"/>
    </xf>
    <xf numFmtId="3" fontId="11" fillId="15" borderId="37" xfId="0" applyNumberFormat="1" applyFont="1" applyFill="1" applyBorder="1" applyAlignment="1">
      <alignment horizontal="center" vertical="top"/>
    </xf>
    <xf numFmtId="171" fontId="16" fillId="15" borderId="3" xfId="1" applyNumberFormat="1" applyFont="1" applyFill="1" applyBorder="1" applyAlignment="1">
      <alignment horizontal="center" vertical="top"/>
    </xf>
    <xf numFmtId="0" fontId="16" fillId="0" borderId="3" xfId="0" applyFont="1" applyBorder="1">
      <alignment vertical="top"/>
    </xf>
    <xf numFmtId="171" fontId="16" fillId="13" borderId="3" xfId="1" applyNumberFormat="1" applyFont="1" applyFill="1" applyBorder="1" applyAlignment="1">
      <alignment horizontal="center" vertical="top"/>
    </xf>
    <xf numFmtId="171" fontId="16" fillId="11" borderId="20" xfId="1" applyNumberFormat="1" applyFont="1" applyFill="1" applyBorder="1" applyAlignment="1">
      <alignment horizontal="center" vertical="top"/>
    </xf>
    <xf numFmtId="171" fontId="16" fillId="11" borderId="34" xfId="1" applyNumberFormat="1" applyFont="1" applyFill="1" applyBorder="1" applyAlignment="1">
      <alignment horizontal="center" vertical="top"/>
    </xf>
    <xf numFmtId="0" fontId="16" fillId="0" borderId="8" xfId="0" applyFont="1" applyBorder="1">
      <alignment vertical="top"/>
    </xf>
    <xf numFmtId="171" fontId="16" fillId="11" borderId="8" xfId="1" applyNumberFormat="1" applyFont="1" applyFill="1" applyBorder="1" applyAlignment="1">
      <alignment horizontal="center" vertical="top"/>
    </xf>
    <xf numFmtId="0" fontId="16" fillId="0" borderId="9" xfId="0" applyFont="1" applyBorder="1">
      <alignment vertical="top"/>
    </xf>
    <xf numFmtId="0" fontId="13" fillId="0" borderId="20" xfId="3" applyFont="1" applyBorder="1" applyAlignment="1">
      <alignment horizontal="left" vertical="center"/>
    </xf>
    <xf numFmtId="0" fontId="16" fillId="0" borderId="29" xfId="0" applyFont="1" applyBorder="1" applyAlignment="1">
      <alignment horizontal="center" vertical="top"/>
    </xf>
    <xf numFmtId="1" fontId="30" fillId="0" borderId="29" xfId="0" applyNumberFormat="1" applyFont="1" applyBorder="1" applyAlignment="1">
      <alignment horizontal="center" vertical="top"/>
    </xf>
    <xf numFmtId="0" fontId="13" fillId="0" borderId="34" xfId="3" applyFont="1" applyBorder="1" applyAlignment="1">
      <alignment horizontal="left" vertical="center"/>
    </xf>
    <xf numFmtId="0" fontId="14" fillId="0" borderId="8" xfId="3" applyFont="1" applyBorder="1" applyAlignment="1">
      <alignment horizontal="center" vertical="center"/>
    </xf>
    <xf numFmtId="0" fontId="14" fillId="0" borderId="9" xfId="3" applyFont="1" applyBorder="1" applyAlignment="1">
      <alignment horizontal="center" vertical="center"/>
    </xf>
    <xf numFmtId="0" fontId="16" fillId="0" borderId="3" xfId="0" applyFont="1" applyBorder="1" applyAlignment="1">
      <alignment horizontal="right" vertical="top"/>
    </xf>
    <xf numFmtId="0" fontId="16" fillId="0" borderId="3" xfId="0" applyFont="1" applyBorder="1" applyAlignment="1">
      <alignment horizontal="center" vertical="center"/>
    </xf>
    <xf numFmtId="170" fontId="16" fillId="0" borderId="3" xfId="0" applyNumberFormat="1" applyFont="1" applyBorder="1" applyAlignment="1">
      <alignment horizontal="center" vertical="top"/>
    </xf>
    <xf numFmtId="0" fontId="17" fillId="9" borderId="28" xfId="0" applyFont="1" applyFill="1" applyBorder="1" applyAlignment="1">
      <alignment horizontal="center" vertical="center"/>
    </xf>
    <xf numFmtId="0" fontId="16" fillId="0" borderId="17" xfId="0" applyFont="1" applyBorder="1" applyAlignment="1">
      <alignment horizontal="center" vertical="top"/>
    </xf>
    <xf numFmtId="0" fontId="16" fillId="0" borderId="18" xfId="0" applyFont="1" applyBorder="1" applyAlignment="1">
      <alignment horizontal="center" vertical="top"/>
    </xf>
    <xf numFmtId="0" fontId="16" fillId="0" borderId="20" xfId="0" applyFont="1" applyBorder="1" applyAlignment="1">
      <alignment horizontal="right" vertical="top"/>
    </xf>
    <xf numFmtId="170" fontId="16" fillId="0" borderId="29" xfId="0" applyNumberFormat="1" applyFont="1" applyBorder="1" applyAlignment="1">
      <alignment horizontal="center" vertical="top"/>
    </xf>
    <xf numFmtId="0" fontId="16" fillId="0" borderId="34" xfId="0" applyFont="1" applyBorder="1" applyAlignment="1">
      <alignment horizontal="right" vertical="top"/>
    </xf>
    <xf numFmtId="0" fontId="16" fillId="0" borderId="8" xfId="0" applyFont="1" applyBorder="1" applyAlignment="1">
      <alignment horizontal="center" vertical="center"/>
    </xf>
    <xf numFmtId="170" fontId="16" fillId="0" borderId="9" xfId="0" applyNumberFormat="1" applyFont="1" applyBorder="1" applyAlignment="1">
      <alignment horizontal="center" vertical="top"/>
    </xf>
    <xf numFmtId="0" fontId="17" fillId="9" borderId="53" xfId="0" applyFont="1" applyFill="1" applyBorder="1" applyAlignment="1">
      <alignment horizontal="center" vertical="center"/>
    </xf>
    <xf numFmtId="0" fontId="16" fillId="0" borderId="54" xfId="0" applyFont="1" applyBorder="1" applyAlignment="1">
      <alignment horizontal="right" vertical="top"/>
    </xf>
    <xf numFmtId="0" fontId="16" fillId="0" borderId="55" xfId="0" applyFont="1" applyBorder="1" applyAlignment="1">
      <alignment horizontal="right" vertical="top"/>
    </xf>
    <xf numFmtId="0" fontId="31" fillId="13" borderId="5" xfId="0" applyFont="1" applyFill="1" applyBorder="1" applyAlignment="1">
      <alignment horizontal="center" vertical="center"/>
    </xf>
    <xf numFmtId="0" fontId="23" fillId="6" borderId="53" xfId="0" applyFont="1" applyFill="1" applyBorder="1" applyAlignment="1">
      <alignment horizontal="center" vertical="center"/>
    </xf>
    <xf numFmtId="0" fontId="23" fillId="16" borderId="54" xfId="0" applyFont="1" applyFill="1" applyBorder="1" applyAlignment="1">
      <alignment horizontal="left" vertical="center"/>
    </xf>
    <xf numFmtId="0" fontId="16" fillId="10" borderId="54" xfId="0" applyFont="1" applyFill="1" applyBorder="1" applyAlignment="1">
      <alignment horizontal="center" vertical="center"/>
    </xf>
    <xf numFmtId="0" fontId="16" fillId="10" borderId="54" xfId="0" applyFont="1" applyFill="1" applyBorder="1" applyAlignment="1">
      <alignment horizontal="center" vertical="center" wrapText="1"/>
    </xf>
    <xf numFmtId="0" fontId="16" fillId="10" borderId="57" xfId="0" applyFont="1" applyFill="1" applyBorder="1" applyAlignment="1">
      <alignment horizontal="center" vertical="center" wrapText="1"/>
    </xf>
    <xf numFmtId="0" fontId="16" fillId="10" borderId="58" xfId="0" applyFont="1" applyFill="1" applyBorder="1" applyAlignment="1">
      <alignment horizontal="center" vertical="center"/>
    </xf>
    <xf numFmtId="0" fontId="16" fillId="10" borderId="59" xfId="0" applyFont="1" applyFill="1" applyBorder="1" applyAlignment="1">
      <alignment horizontal="center" vertical="center"/>
    </xf>
    <xf numFmtId="168" fontId="0" fillId="0" borderId="49" xfId="0" applyNumberFormat="1" applyBorder="1" applyAlignment="1">
      <alignment horizontal="center" vertical="top"/>
    </xf>
    <xf numFmtId="3" fontId="11" fillId="15" borderId="31" xfId="0" applyNumberFormat="1" applyFont="1" applyFill="1" applyBorder="1" applyAlignment="1">
      <alignment horizontal="center" vertical="top"/>
    </xf>
    <xf numFmtId="2" fontId="9" fillId="0" borderId="1" xfId="8" applyNumberFormat="1" applyFont="1" applyBorder="1" applyAlignment="1">
      <alignment horizontal="center"/>
    </xf>
    <xf numFmtId="0" fontId="21" fillId="0" borderId="11" xfId="0" applyFont="1" applyBorder="1" applyAlignment="1">
      <alignment horizontal="right" vertical="center" wrapText="1"/>
    </xf>
    <xf numFmtId="1" fontId="62" fillId="0" borderId="0" xfId="0" applyNumberFormat="1" applyFont="1" applyAlignment="1"/>
    <xf numFmtId="172" fontId="62" fillId="0" borderId="0" xfId="12" applyNumberFormat="1" applyFont="1" applyAlignment="1"/>
    <xf numFmtId="0" fontId="1" fillId="0" borderId="0" xfId="8" applyFont="1"/>
    <xf numFmtId="0" fontId="9" fillId="0" borderId="0" xfId="8" applyFont="1"/>
    <xf numFmtId="1" fontId="9" fillId="0" borderId="0" xfId="8" applyNumberFormat="1" applyFont="1"/>
    <xf numFmtId="0" fontId="9" fillId="0" borderId="0" xfId="8" applyFont="1" applyAlignment="1">
      <alignment horizontal="right"/>
    </xf>
    <xf numFmtId="0" fontId="11" fillId="0" borderId="0" xfId="0" applyFont="1" applyAlignment="1"/>
    <xf numFmtId="0" fontId="25" fillId="0" borderId="14" xfId="0" applyFont="1" applyBorder="1" applyAlignment="1"/>
    <xf numFmtId="1" fontId="25" fillId="12" borderId="0" xfId="0" applyNumberFormat="1" applyFont="1" applyFill="1" applyAlignment="1">
      <alignment horizontal="center"/>
    </xf>
    <xf numFmtId="1" fontId="11" fillId="0" borderId="0" xfId="0" applyNumberFormat="1" applyFont="1" applyAlignment="1"/>
    <xf numFmtId="0" fontId="11" fillId="0" borderId="10" xfId="0" applyFont="1" applyBorder="1" applyAlignment="1"/>
    <xf numFmtId="1" fontId="25" fillId="21" borderId="0" xfId="0" applyNumberFormat="1" applyFont="1" applyFill="1" applyAlignment="1">
      <alignment horizontal="center"/>
    </xf>
    <xf numFmtId="168" fontId="0" fillId="0" borderId="27" xfId="0" applyNumberFormat="1" applyBorder="1" applyAlignment="1">
      <alignment horizontal="center" vertical="top"/>
    </xf>
    <xf numFmtId="167" fontId="0" fillId="0" borderId="0" xfId="2" applyNumberFormat="1" applyFont="1" applyAlignment="1">
      <alignment horizontal="center" vertical="top"/>
    </xf>
    <xf numFmtId="167" fontId="0" fillId="0" borderId="27" xfId="0" applyNumberFormat="1" applyBorder="1" applyAlignment="1">
      <alignment horizontal="center" vertical="top"/>
    </xf>
    <xf numFmtId="167" fontId="0" fillId="0" borderId="0" xfId="0" applyNumberFormat="1" applyAlignment="1">
      <alignment horizontal="center" vertical="top"/>
    </xf>
    <xf numFmtId="3" fontId="1" fillId="0" borderId="0" xfId="3" applyNumberFormat="1" applyFont="1" applyAlignment="1">
      <alignment horizontal="right"/>
    </xf>
    <xf numFmtId="0" fontId="1" fillId="0" borderId="1" xfId="3" applyFont="1" applyBorder="1" applyAlignment="1">
      <alignment horizontal="right"/>
    </xf>
    <xf numFmtId="0" fontId="1" fillId="11" borderId="1" xfId="3" applyFont="1" applyFill="1" applyBorder="1" applyAlignment="1">
      <alignment horizontal="right"/>
    </xf>
    <xf numFmtId="169" fontId="1" fillId="11" borderId="1" xfId="3" quotePrefix="1" applyNumberFormat="1" applyFont="1" applyFill="1" applyBorder="1" applyAlignment="1">
      <alignment horizontal="center"/>
    </xf>
    <xf numFmtId="167" fontId="1" fillId="0" borderId="0" xfId="3" quotePrefix="1" applyNumberFormat="1" applyFont="1" applyAlignment="1">
      <alignment horizontal="center"/>
    </xf>
    <xf numFmtId="9" fontId="1" fillId="0" borderId="0" xfId="2" applyFont="1" applyAlignment="1">
      <alignment horizontal="center"/>
    </xf>
    <xf numFmtId="165" fontId="1" fillId="0" borderId="1" xfId="1" applyNumberFormat="1" applyFont="1" applyBorder="1" applyAlignment="1">
      <alignment horizontal="center"/>
    </xf>
    <xf numFmtId="165" fontId="1" fillId="11" borderId="1" xfId="1" applyNumberFormat="1" applyFont="1" applyFill="1" applyBorder="1" applyAlignment="1">
      <alignment horizontal="center"/>
    </xf>
    <xf numFmtId="0" fontId="1" fillId="0" borderId="0" xfId="11" applyFont="1"/>
    <xf numFmtId="0" fontId="1" fillId="0" borderId="23" xfId="8" applyFont="1" applyBorder="1"/>
    <xf numFmtId="0" fontId="1" fillId="0" borderId="19" xfId="8" applyFont="1" applyBorder="1"/>
    <xf numFmtId="0" fontId="1" fillId="15" borderId="24" xfId="8" applyFont="1" applyFill="1" applyBorder="1" applyAlignment="1">
      <alignment horizontal="center"/>
    </xf>
    <xf numFmtId="0" fontId="1" fillId="15" borderId="14" xfId="8" applyFont="1" applyFill="1" applyBorder="1" applyAlignment="1">
      <alignment horizontal="center"/>
    </xf>
    <xf numFmtId="0" fontId="1" fillId="0" borderId="0" xfId="0" applyFont="1" applyAlignment="1"/>
    <xf numFmtId="0" fontId="1" fillId="0" borderId="24" xfId="8" applyFont="1" applyBorder="1"/>
    <xf numFmtId="0" fontId="1" fillId="0" borderId="14" xfId="8" applyFont="1" applyBorder="1"/>
    <xf numFmtId="0" fontId="1" fillId="0" borderId="0" xfId="8" applyFont="1" applyAlignment="1">
      <alignment horizontal="right"/>
    </xf>
    <xf numFmtId="0" fontId="1" fillId="0" borderId="10" xfId="8" applyFont="1" applyBorder="1"/>
    <xf numFmtId="0" fontId="1" fillId="15" borderId="20" xfId="8" applyFont="1" applyFill="1" applyBorder="1" applyAlignment="1">
      <alignment horizontal="center"/>
    </xf>
    <xf numFmtId="0" fontId="1" fillId="0" borderId="0" xfId="8" applyFont="1" applyAlignment="1">
      <alignment horizontal="center"/>
    </xf>
    <xf numFmtId="0" fontId="1" fillId="0" borderId="14" xfId="8" applyFont="1" applyBorder="1" applyAlignment="1">
      <alignment horizontal="center"/>
    </xf>
    <xf numFmtId="0" fontId="1" fillId="5" borderId="1" xfId="8" applyFont="1" applyFill="1" applyBorder="1" applyAlignment="1">
      <alignment horizontal="center"/>
    </xf>
    <xf numFmtId="0" fontId="44" fillId="0" borderId="11" xfId="0" applyFont="1" applyBorder="1" applyAlignment="1">
      <alignment horizontal="right" vertical="center" wrapText="1"/>
    </xf>
    <xf numFmtId="0" fontId="44" fillId="0" borderId="0" xfId="0" applyFont="1">
      <alignment vertical="top"/>
    </xf>
    <xf numFmtId="0" fontId="0" fillId="0" borderId="14" xfId="0" applyBorder="1">
      <alignment vertical="top"/>
    </xf>
    <xf numFmtId="168" fontId="37" fillId="0" borderId="29" xfId="0" applyNumberFormat="1" applyFont="1" applyBorder="1" applyAlignment="1">
      <alignment horizontal="center" vertical="top"/>
    </xf>
    <xf numFmtId="168" fontId="37" fillId="0" borderId="20" xfId="0" applyNumberFormat="1" applyFont="1" applyBorder="1" applyAlignment="1">
      <alignment horizontal="center" vertical="top"/>
    </xf>
    <xf numFmtId="0" fontId="11" fillId="0" borderId="44" xfId="0" applyFont="1" applyBorder="1" applyAlignment="1">
      <alignment horizontal="center" vertical="top"/>
    </xf>
    <xf numFmtId="0" fontId="8" fillId="0" borderId="44" xfId="0" applyFont="1" applyBorder="1" applyAlignment="1">
      <alignment horizontal="center" vertical="top"/>
    </xf>
    <xf numFmtId="0" fontId="11" fillId="5" borderId="28" xfId="0" applyFont="1" applyFill="1" applyBorder="1" applyAlignment="1">
      <alignment horizontal="center" vertical="center" wrapText="1"/>
    </xf>
    <xf numFmtId="0" fontId="11" fillId="55" borderId="18" xfId="0" applyFont="1" applyFill="1" applyBorder="1" applyAlignment="1">
      <alignment horizontal="center" vertical="center" wrapText="1"/>
    </xf>
    <xf numFmtId="0" fontId="11" fillId="55" borderId="53" xfId="0" applyFont="1" applyFill="1" applyBorder="1" applyAlignment="1">
      <alignment horizontal="center" vertical="center" wrapText="1"/>
    </xf>
    <xf numFmtId="168" fontId="0" fillId="0" borderId="53" xfId="0" applyNumberFormat="1" applyBorder="1" applyAlignment="1">
      <alignment horizontal="center" vertical="top"/>
    </xf>
    <xf numFmtId="164" fontId="0" fillId="0" borderId="59" xfId="2" applyNumberFormat="1" applyFont="1" applyFill="1" applyBorder="1" applyAlignment="1">
      <alignment horizontal="center" vertical="top"/>
    </xf>
    <xf numFmtId="166" fontId="0" fillId="0" borderId="72" xfId="1" applyNumberFormat="1" applyFont="1" applyBorder="1" applyAlignment="1">
      <alignment horizontal="center" vertical="top"/>
    </xf>
    <xf numFmtId="166" fontId="0" fillId="0" borderId="71" xfId="1" applyNumberFormat="1" applyFont="1" applyBorder="1" applyAlignment="1">
      <alignment horizontal="center" vertical="top"/>
    </xf>
    <xf numFmtId="166" fontId="0" fillId="0" borderId="54" xfId="1" applyNumberFormat="1" applyFont="1" applyBorder="1" applyAlignment="1">
      <alignment horizontal="center" vertical="top"/>
    </xf>
    <xf numFmtId="166" fontId="11" fillId="15" borderId="71" xfId="1" applyNumberFormat="1" applyFont="1" applyFill="1" applyBorder="1" applyAlignment="1">
      <alignment horizontal="center" vertical="top"/>
    </xf>
    <xf numFmtId="166" fontId="0" fillId="0" borderId="53" xfId="1" applyNumberFormat="1" applyFont="1" applyBorder="1" applyAlignment="1">
      <alignment horizontal="center" vertical="top"/>
    </xf>
    <xf numFmtId="3" fontId="11" fillId="15" borderId="72" xfId="0" applyNumberFormat="1" applyFont="1" applyFill="1" applyBorder="1" applyAlignment="1">
      <alignment horizontal="center" vertical="top"/>
    </xf>
    <xf numFmtId="0" fontId="11" fillId="5" borderId="53" xfId="0" applyFont="1" applyFill="1" applyBorder="1" applyAlignment="1">
      <alignment horizontal="center" vertical="center" wrapText="1"/>
    </xf>
    <xf numFmtId="166" fontId="0" fillId="0" borderId="12" xfId="1" applyNumberFormat="1" applyFont="1" applyBorder="1" applyAlignment="1">
      <alignment horizontal="center" vertical="top"/>
    </xf>
    <xf numFmtId="166" fontId="0" fillId="0" borderId="14" xfId="1" applyNumberFormat="1" applyFont="1" applyBorder="1" applyAlignment="1">
      <alignment horizontal="center" vertical="top"/>
    </xf>
    <xf numFmtId="9" fontId="37" fillId="0" borderId="40" xfId="2" applyFont="1" applyFill="1" applyBorder="1" applyAlignment="1">
      <alignment vertical="top"/>
    </xf>
    <xf numFmtId="0" fontId="37" fillId="0" borderId="43" xfId="0" applyFont="1" applyBorder="1">
      <alignment vertical="top"/>
    </xf>
    <xf numFmtId="1" fontId="37" fillId="0" borderId="39" xfId="0" applyNumberFormat="1" applyFont="1" applyBorder="1">
      <alignment vertical="top"/>
    </xf>
    <xf numFmtId="0" fontId="37" fillId="0" borderId="10" xfId="0" applyFont="1" applyBorder="1">
      <alignment vertical="top"/>
    </xf>
    <xf numFmtId="0" fontId="37" fillId="0" borderId="39" xfId="0" applyFont="1" applyBorder="1">
      <alignment vertical="top"/>
    </xf>
    <xf numFmtId="165" fontId="37" fillId="0" borderId="0" xfId="1" applyNumberFormat="1" applyFont="1" applyBorder="1" applyAlignment="1">
      <alignment vertical="top"/>
    </xf>
    <xf numFmtId="165" fontId="37" fillId="0" borderId="0" xfId="1" applyNumberFormat="1" applyFont="1" applyFill="1" applyBorder="1" applyAlignment="1">
      <alignment vertical="top"/>
    </xf>
    <xf numFmtId="165" fontId="37" fillId="0" borderId="10" xfId="1" applyNumberFormat="1" applyFont="1" applyBorder="1" applyAlignment="1">
      <alignment vertical="top"/>
    </xf>
    <xf numFmtId="44" fontId="11" fillId="0" borderId="0" xfId="1" applyFont="1" applyAlignment="1">
      <alignment vertical="top"/>
    </xf>
    <xf numFmtId="165" fontId="11" fillId="0" borderId="0" xfId="1" applyNumberFormat="1" applyFont="1" applyAlignment="1">
      <alignment vertical="top"/>
    </xf>
    <xf numFmtId="0" fontId="11" fillId="0" borderId="46" xfId="0" applyFont="1" applyBorder="1" applyAlignment="1">
      <alignment horizontal="center" vertical="top"/>
    </xf>
    <xf numFmtId="0" fontId="37" fillId="0" borderId="76" xfId="0" applyFont="1" applyBorder="1">
      <alignment vertical="top"/>
    </xf>
    <xf numFmtId="174" fontId="37" fillId="0" borderId="21" xfId="0" applyNumberFormat="1" applyFont="1" applyBorder="1">
      <alignment vertical="top"/>
    </xf>
    <xf numFmtId="174" fontId="37" fillId="0" borderId="16" xfId="0" applyNumberFormat="1" applyFont="1" applyBorder="1">
      <alignment vertical="top"/>
    </xf>
    <xf numFmtId="0" fontId="16" fillId="13" borderId="80" xfId="0" applyFont="1" applyFill="1" applyBorder="1" applyAlignment="1">
      <alignment horizontal="center" vertical="center"/>
    </xf>
    <xf numFmtId="0" fontId="16" fillId="55" borderId="34" xfId="0" applyFont="1" applyFill="1" applyBorder="1" applyAlignment="1">
      <alignment horizontal="center" vertical="center"/>
    </xf>
    <xf numFmtId="0" fontId="16" fillId="55" borderId="77" xfId="0" applyFont="1" applyFill="1" applyBorder="1" applyAlignment="1">
      <alignment horizontal="center" vertical="center"/>
    </xf>
    <xf numFmtId="166" fontId="16" fillId="55" borderId="8" xfId="1" applyNumberFormat="1" applyFont="1" applyFill="1" applyBorder="1" applyAlignment="1">
      <alignment horizontal="center" vertical="center"/>
    </xf>
    <xf numFmtId="164" fontId="16" fillId="55" borderId="8" xfId="2" applyNumberFormat="1" applyFont="1" applyFill="1" applyBorder="1" applyAlignment="1">
      <alignment horizontal="center" vertical="center"/>
    </xf>
    <xf numFmtId="168" fontId="16" fillId="55" borderId="8" xfId="1" applyNumberFormat="1" applyFont="1" applyFill="1" applyBorder="1" applyAlignment="1">
      <alignment horizontal="center" vertical="center"/>
    </xf>
    <xf numFmtId="164" fontId="16" fillId="55" borderId="9" xfId="2" applyNumberFormat="1" applyFont="1" applyFill="1" applyBorder="1" applyAlignment="1">
      <alignment horizontal="center" vertical="center"/>
    </xf>
    <xf numFmtId="166" fontId="16" fillId="13" borderId="17" xfId="1" applyNumberFormat="1" applyFont="1" applyFill="1" applyBorder="1" applyAlignment="1">
      <alignment horizontal="center" vertical="center"/>
    </xf>
    <xf numFmtId="1" fontId="16" fillId="13" borderId="17" xfId="0" quotePrefix="1" applyNumberFormat="1" applyFont="1" applyFill="1" applyBorder="1" applyAlignment="1">
      <alignment horizontal="center" vertical="center"/>
    </xf>
    <xf numFmtId="168" fontId="16" fillId="13" borderId="17" xfId="1" applyNumberFormat="1" applyFont="1" applyFill="1" applyBorder="1" applyAlignment="1">
      <alignment horizontal="center" vertical="center"/>
    </xf>
    <xf numFmtId="1" fontId="16" fillId="13" borderId="18" xfId="0" quotePrefix="1" applyNumberFormat="1" applyFont="1" applyFill="1" applyBorder="1" applyAlignment="1">
      <alignment horizontal="center" vertical="center"/>
    </xf>
    <xf numFmtId="166" fontId="16" fillId="13" borderId="3" xfId="1" applyNumberFormat="1" applyFont="1" applyFill="1" applyBorder="1" applyAlignment="1">
      <alignment horizontal="center" vertical="center"/>
    </xf>
    <xf numFmtId="164" fontId="16" fillId="0" borderId="3" xfId="2" applyNumberFormat="1" applyFont="1" applyFill="1" applyBorder="1" applyAlignment="1">
      <alignment horizontal="center" vertical="center"/>
    </xf>
    <xf numFmtId="168" fontId="16" fillId="13" borderId="3" xfId="1" applyNumberFormat="1" applyFont="1" applyFill="1" applyBorder="1" applyAlignment="1">
      <alignment horizontal="center" vertical="center"/>
    </xf>
    <xf numFmtId="164" fontId="16" fillId="0" borderId="56" xfId="2" applyNumberFormat="1" applyFont="1" applyFill="1" applyBorder="1" applyAlignment="1">
      <alignment horizontal="center" vertical="center"/>
    </xf>
    <xf numFmtId="164" fontId="16" fillId="0" borderId="17" xfId="2" applyNumberFormat="1" applyFont="1" applyFill="1" applyBorder="1" applyAlignment="1">
      <alignment horizontal="center" vertical="center"/>
    </xf>
    <xf numFmtId="164" fontId="16" fillId="0" borderId="18" xfId="2" applyNumberFormat="1" applyFont="1" applyFill="1" applyBorder="1" applyAlignment="1">
      <alignment horizontal="center" vertical="center"/>
    </xf>
    <xf numFmtId="166" fontId="16" fillId="55" borderId="78" xfId="1" applyNumberFormat="1" applyFont="1" applyFill="1" applyBorder="1" applyAlignment="1">
      <alignment horizontal="center" vertical="center"/>
    </xf>
    <xf numFmtId="164" fontId="16" fillId="55" borderId="78" xfId="2" applyNumberFormat="1" applyFont="1" applyFill="1" applyBorder="1" applyAlignment="1">
      <alignment horizontal="center" vertical="center"/>
    </xf>
    <xf numFmtId="3" fontId="16" fillId="55" borderId="78" xfId="1" applyNumberFormat="1" applyFont="1" applyFill="1" applyBorder="1" applyAlignment="1">
      <alignment horizontal="center" vertical="center"/>
    </xf>
    <xf numFmtId="168" fontId="16" fillId="55" borderId="78" xfId="1" applyNumberFormat="1" applyFont="1" applyFill="1" applyBorder="1" applyAlignment="1">
      <alignment horizontal="center" vertical="center"/>
    </xf>
    <xf numFmtId="164" fontId="16" fillId="55" borderId="79" xfId="2" applyNumberFormat="1" applyFont="1" applyFill="1" applyBorder="1" applyAlignment="1">
      <alignment horizontal="center" vertical="center"/>
    </xf>
    <xf numFmtId="0" fontId="16" fillId="16" borderId="4" xfId="0" applyFont="1" applyFill="1" applyBorder="1">
      <alignment vertical="top"/>
    </xf>
    <xf numFmtId="0" fontId="11" fillId="13" borderId="53" xfId="0" applyFont="1" applyFill="1" applyBorder="1" applyAlignment="1">
      <alignment horizontal="center" vertical="center" wrapText="1"/>
    </xf>
    <xf numFmtId="0" fontId="16" fillId="16" borderId="54" xfId="0" applyFont="1" applyFill="1" applyBorder="1">
      <alignment vertical="top"/>
    </xf>
    <xf numFmtId="0" fontId="16" fillId="0" borderId="54" xfId="0" applyFont="1" applyBorder="1">
      <alignment vertical="top"/>
    </xf>
    <xf numFmtId="0" fontId="16" fillId="0" borderId="55" xfId="0" applyFont="1" applyBorder="1">
      <alignment vertical="top"/>
    </xf>
    <xf numFmtId="1" fontId="63" fillId="0" borderId="10" xfId="0" applyNumberFormat="1" applyFont="1" applyBorder="1" applyAlignment="1">
      <alignment horizontal="right" vertical="center" wrapText="1"/>
    </xf>
    <xf numFmtId="168" fontId="11" fillId="15" borderId="19" xfId="0" applyNumberFormat="1" applyFont="1" applyFill="1" applyBorder="1" applyAlignment="1">
      <alignment horizontal="center" vertical="top"/>
    </xf>
    <xf numFmtId="168" fontId="11" fillId="15" borderId="73" xfId="0" applyNumberFormat="1" applyFont="1" applyFill="1" applyBorder="1" applyAlignment="1">
      <alignment horizontal="center" vertical="top"/>
    </xf>
    <xf numFmtId="168" fontId="11" fillId="15" borderId="81" xfId="0" applyNumberFormat="1" applyFont="1" applyFill="1" applyBorder="1" applyAlignment="1">
      <alignment horizontal="center" vertical="top"/>
    </xf>
    <xf numFmtId="168" fontId="11" fillId="15" borderId="74" xfId="0" applyNumberFormat="1" applyFont="1" applyFill="1" applyBorder="1" applyAlignment="1">
      <alignment horizontal="center" vertical="top"/>
    </xf>
    <xf numFmtId="168" fontId="11" fillId="15" borderId="33" xfId="0" applyNumberFormat="1" applyFont="1" applyFill="1" applyBorder="1" applyAlignment="1">
      <alignment horizontal="center" vertical="top"/>
    </xf>
    <xf numFmtId="0" fontId="16" fillId="0" borderId="54" xfId="0" applyFont="1" applyBorder="1" applyAlignment="1">
      <alignment horizontal="center" vertical="top"/>
    </xf>
    <xf numFmtId="3" fontId="11" fillId="15" borderId="53" xfId="0" applyNumberFormat="1" applyFont="1" applyFill="1" applyBorder="1" applyAlignment="1">
      <alignment horizontal="center" vertical="top"/>
    </xf>
    <xf numFmtId="0" fontId="0" fillId="56" borderId="1" xfId="0" applyFill="1" applyBorder="1" applyAlignment="1">
      <alignment vertical="center" wrapText="1"/>
    </xf>
    <xf numFmtId="0" fontId="0" fillId="0" borderId="0" xfId="0" applyAlignment="1">
      <alignment wrapText="1"/>
    </xf>
    <xf numFmtId="0" fontId="0" fillId="56" borderId="1" xfId="0" applyFill="1" applyBorder="1" applyAlignment="1">
      <alignment horizontal="center" vertical="center" wrapText="1"/>
    </xf>
    <xf numFmtId="0" fontId="0" fillId="0" borderId="1" xfId="0" applyBorder="1" applyAlignment="1">
      <alignment vertical="center"/>
    </xf>
    <xf numFmtId="1" fontId="0" fillId="15" borderId="1" xfId="0" applyNumberFormat="1" applyFill="1" applyBorder="1" applyAlignment="1">
      <alignment vertical="center"/>
    </xf>
    <xf numFmtId="1" fontId="0" fillId="15" borderId="1" xfId="0" applyNumberFormat="1" applyFill="1" applyBorder="1" applyAlignment="1">
      <alignment horizontal="center" vertical="center"/>
    </xf>
    <xf numFmtId="0" fontId="0" fillId="15" borderId="0" xfId="0" applyFill="1" applyAlignment="1"/>
    <xf numFmtId="0" fontId="8" fillId="0" borderId="1" xfId="0" applyFont="1" applyBorder="1" applyAlignment="1">
      <alignment vertical="center"/>
    </xf>
    <xf numFmtId="1" fontId="16" fillId="0" borderId="1" xfId="0" applyNumberFormat="1" applyFont="1" applyBorder="1">
      <alignment vertical="top"/>
    </xf>
    <xf numFmtId="9" fontId="16" fillId="0" borderId="1" xfId="2" applyFont="1" applyBorder="1" applyAlignment="1">
      <alignment vertical="top"/>
    </xf>
    <xf numFmtId="0" fontId="17" fillId="5" borderId="31" xfId="0" applyFont="1" applyFill="1" applyBorder="1" applyAlignment="1">
      <alignment horizontal="center" vertical="center" wrapText="1"/>
    </xf>
    <xf numFmtId="168" fontId="37" fillId="0" borderId="6" xfId="0" applyNumberFormat="1" applyFont="1" applyBorder="1" applyAlignment="1">
      <alignment horizontal="center" vertical="top"/>
    </xf>
    <xf numFmtId="3" fontId="11" fillId="15" borderId="19" xfId="0" applyNumberFormat="1" applyFont="1" applyFill="1" applyBorder="1" applyAlignment="1">
      <alignment horizontal="center" vertical="top"/>
    </xf>
    <xf numFmtId="166" fontId="0" fillId="0" borderId="0" xfId="0" applyNumberFormat="1">
      <alignment vertical="top"/>
    </xf>
    <xf numFmtId="10" fontId="16" fillId="0" borderId="0" xfId="0" applyNumberFormat="1" applyFont="1">
      <alignment vertical="top"/>
    </xf>
    <xf numFmtId="164" fontId="0" fillId="0" borderId="0" xfId="2" applyNumberFormat="1" applyFont="1" applyAlignment="1">
      <alignment horizontal="center" vertical="top"/>
    </xf>
    <xf numFmtId="164" fontId="0" fillId="0" borderId="0" xfId="0" applyNumberFormat="1" applyAlignment="1">
      <alignment horizontal="center" vertical="top"/>
    </xf>
    <xf numFmtId="164" fontId="0" fillId="0" borderId="0" xfId="0" applyNumberFormat="1">
      <alignment vertical="top"/>
    </xf>
    <xf numFmtId="0" fontId="31" fillId="57" borderId="20" xfId="3" applyFont="1" applyFill="1" applyBorder="1" applyAlignment="1">
      <alignment horizontal="center" vertical="center"/>
    </xf>
    <xf numFmtId="0" fontId="31" fillId="57" borderId="1" xfId="3" applyFont="1" applyFill="1" applyBorder="1" applyAlignment="1">
      <alignment horizontal="center" vertical="center"/>
    </xf>
    <xf numFmtId="0" fontId="31" fillId="57" borderId="29" xfId="3" applyFont="1" applyFill="1" applyBorder="1" applyAlignment="1">
      <alignment horizontal="center" vertical="center"/>
    </xf>
    <xf numFmtId="0" fontId="16" fillId="57" borderId="20" xfId="0" applyFont="1" applyFill="1" applyBorder="1" applyAlignment="1">
      <alignment horizontal="center" vertical="center"/>
    </xf>
    <xf numFmtId="0" fontId="16" fillId="57" borderId="1" xfId="0" applyFont="1" applyFill="1" applyBorder="1" applyAlignment="1">
      <alignment horizontal="center" vertical="center"/>
    </xf>
    <xf numFmtId="0" fontId="16" fillId="57" borderId="29" xfId="0" applyFont="1" applyFill="1" applyBorder="1" applyAlignment="1">
      <alignment horizontal="center" vertical="center"/>
    </xf>
    <xf numFmtId="0" fontId="13" fillId="57" borderId="20" xfId="3" applyFont="1" applyFill="1" applyBorder="1" applyAlignment="1">
      <alignment horizontal="center" vertical="center"/>
    </xf>
    <xf numFmtId="0" fontId="13" fillId="57" borderId="1" xfId="3" applyFont="1" applyFill="1" applyBorder="1" applyAlignment="1">
      <alignment horizontal="center" vertical="center"/>
    </xf>
    <xf numFmtId="0" fontId="13" fillId="57" borderId="29" xfId="3" applyFont="1" applyFill="1" applyBorder="1" applyAlignment="1">
      <alignment horizontal="center" vertical="center"/>
    </xf>
    <xf numFmtId="164" fontId="13" fillId="57" borderId="20" xfId="2" applyNumberFormat="1" applyFont="1" applyFill="1" applyBorder="1" applyAlignment="1">
      <alignment horizontal="center" vertical="center"/>
    </xf>
    <xf numFmtId="164" fontId="13" fillId="57" borderId="1" xfId="2" applyNumberFormat="1" applyFont="1" applyFill="1" applyBorder="1" applyAlignment="1">
      <alignment horizontal="center" vertical="center"/>
    </xf>
    <xf numFmtId="164" fontId="13" fillId="57" borderId="29" xfId="2" applyNumberFormat="1" applyFont="1" applyFill="1" applyBorder="1" applyAlignment="1">
      <alignment horizontal="center" vertical="center"/>
    </xf>
    <xf numFmtId="0" fontId="29" fillId="57" borderId="20" xfId="2" applyNumberFormat="1" applyFont="1" applyFill="1" applyBorder="1" applyAlignment="1">
      <alignment horizontal="center" vertical="center"/>
    </xf>
    <xf numFmtId="0" fontId="29" fillId="57" borderId="1" xfId="2" applyNumberFormat="1" applyFont="1" applyFill="1" applyBorder="1" applyAlignment="1">
      <alignment horizontal="center" vertical="center"/>
    </xf>
    <xf numFmtId="0" fontId="29" fillId="57" borderId="29" xfId="2" applyNumberFormat="1" applyFont="1" applyFill="1" applyBorder="1" applyAlignment="1">
      <alignment horizontal="center" vertical="center"/>
    </xf>
    <xf numFmtId="0" fontId="16" fillId="57" borderId="20" xfId="0" applyFont="1" applyFill="1" applyBorder="1" applyAlignment="1">
      <alignment horizontal="center" vertical="center" wrapText="1"/>
    </xf>
    <xf numFmtId="0" fontId="16" fillId="57" borderId="1" xfId="0" applyFont="1" applyFill="1" applyBorder="1" applyAlignment="1">
      <alignment horizontal="center" vertical="center" wrapText="1"/>
    </xf>
    <xf numFmtId="0" fontId="16" fillId="57" borderId="29" xfId="0" applyFont="1" applyFill="1" applyBorder="1" applyAlignment="1">
      <alignment horizontal="center" vertical="center" wrapText="1"/>
    </xf>
    <xf numFmtId="0" fontId="31" fillId="57" borderId="20" xfId="0" applyFont="1" applyFill="1" applyBorder="1" applyAlignment="1">
      <alignment horizontal="center" vertical="center" wrapText="1"/>
    </xf>
    <xf numFmtId="0" fontId="31" fillId="57" borderId="1" xfId="0" applyFont="1" applyFill="1" applyBorder="1" applyAlignment="1">
      <alignment horizontal="center" vertical="center" wrapText="1"/>
    </xf>
    <xf numFmtId="0" fontId="31" fillId="57" borderId="29" xfId="0" applyFont="1" applyFill="1" applyBorder="1" applyAlignment="1">
      <alignment horizontal="center" vertical="center" wrapText="1"/>
    </xf>
    <xf numFmtId="168" fontId="8" fillId="6" borderId="1" xfId="0" applyNumberFormat="1" applyFont="1" applyFill="1" applyBorder="1" applyAlignment="1">
      <alignment horizontal="center" vertical="top"/>
    </xf>
    <xf numFmtId="0" fontId="11" fillId="0" borderId="51" xfId="0" applyFont="1" applyBorder="1" applyAlignment="1">
      <alignment horizontal="center" vertical="top" wrapText="1"/>
    </xf>
    <xf numFmtId="3" fontId="11" fillId="15" borderId="57" xfId="0" applyNumberFormat="1" applyFont="1" applyFill="1" applyBorder="1" applyAlignment="1">
      <alignment horizontal="center" vertical="top"/>
    </xf>
    <xf numFmtId="9" fontId="37" fillId="0" borderId="42" xfId="2" applyFont="1" applyFill="1" applyBorder="1" applyAlignment="1">
      <alignment vertical="top"/>
    </xf>
    <xf numFmtId="1" fontId="37" fillId="0" borderId="14" xfId="0" applyNumberFormat="1" applyFont="1" applyBorder="1">
      <alignment vertical="top"/>
    </xf>
    <xf numFmtId="1" fontId="37" fillId="0" borderId="0" xfId="0" applyNumberFormat="1" applyFont="1">
      <alignment vertical="top"/>
    </xf>
    <xf numFmtId="0" fontId="37" fillId="0" borderId="14" xfId="0" applyFont="1" applyBorder="1">
      <alignment vertical="top"/>
    </xf>
    <xf numFmtId="1" fontId="63" fillId="0" borderId="0" xfId="0" applyNumberFormat="1" applyFont="1">
      <alignment vertical="top"/>
    </xf>
    <xf numFmtId="1" fontId="63" fillId="0" borderId="0" xfId="0" applyNumberFormat="1" applyFont="1" applyAlignment="1">
      <alignment horizontal="right" vertical="center" wrapText="1"/>
    </xf>
    <xf numFmtId="0" fontId="37" fillId="0" borderId="15" xfId="0" applyFont="1" applyBorder="1">
      <alignment vertical="top"/>
    </xf>
    <xf numFmtId="9" fontId="0" fillId="0" borderId="0" xfId="2" applyFont="1" applyBorder="1" applyAlignment="1">
      <alignment horizontal="center" vertical="top"/>
    </xf>
    <xf numFmtId="0" fontId="0" fillId="0" borderId="71" xfId="0" applyBorder="1">
      <alignment vertical="top"/>
    </xf>
    <xf numFmtId="168" fontId="0" fillId="0" borderId="71" xfId="0" applyNumberFormat="1" applyBorder="1" applyAlignment="1">
      <alignment horizontal="center" vertical="top"/>
    </xf>
    <xf numFmtId="0" fontId="0" fillId="0" borderId="72" xfId="0" applyBorder="1">
      <alignment vertical="top"/>
    </xf>
    <xf numFmtId="0" fontId="8" fillId="0" borderId="71" xfId="0" applyFont="1" applyBorder="1" applyAlignment="1">
      <alignment horizontal="center" vertical="top"/>
    </xf>
    <xf numFmtId="0" fontId="11" fillId="9" borderId="32" xfId="0" applyFont="1" applyFill="1" applyBorder="1" applyAlignment="1">
      <alignment horizontal="center" vertical="center" wrapText="1"/>
    </xf>
    <xf numFmtId="0" fontId="11" fillId="9" borderId="72" xfId="0" applyFont="1" applyFill="1" applyBorder="1" applyAlignment="1">
      <alignment horizontal="center" vertical="center" wrapText="1"/>
    </xf>
    <xf numFmtId="0" fontId="64" fillId="0" borderId="0" xfId="13" applyFont="1"/>
    <xf numFmtId="0" fontId="65" fillId="0" borderId="0" xfId="13" applyFont="1" applyAlignment="1">
      <alignment horizontal="center"/>
    </xf>
    <xf numFmtId="0" fontId="65" fillId="0" borderId="0" xfId="13" applyFont="1"/>
    <xf numFmtId="0" fontId="64" fillId="0" borderId="0" xfId="13" applyFont="1" applyAlignment="1">
      <alignment horizontal="center"/>
    </xf>
    <xf numFmtId="2" fontId="64" fillId="0" borderId="0" xfId="13" applyNumberFormat="1" applyFont="1" applyAlignment="1">
      <alignment horizontal="center"/>
    </xf>
    <xf numFmtId="4" fontId="11" fillId="15" borderId="7" xfId="0" applyNumberFormat="1" applyFont="1" applyFill="1" applyBorder="1" applyAlignment="1">
      <alignment horizontal="center" vertical="top"/>
    </xf>
    <xf numFmtId="44" fontId="30" fillId="0" borderId="1" xfId="1" applyFont="1" applyBorder="1" applyAlignment="1">
      <alignment vertical="top"/>
    </xf>
    <xf numFmtId="0" fontId="11" fillId="9" borderId="13" xfId="0" applyFont="1" applyFill="1" applyBorder="1" applyAlignment="1">
      <alignment horizontal="center" vertical="center" wrapText="1"/>
    </xf>
    <xf numFmtId="0" fontId="0" fillId="0" borderId="10" xfId="0" applyBorder="1">
      <alignment vertical="top"/>
    </xf>
    <xf numFmtId="0" fontId="11" fillId="0" borderId="85" xfId="0" applyFont="1" applyBorder="1" applyAlignment="1">
      <alignment horizontal="center" vertical="center"/>
    </xf>
    <xf numFmtId="0" fontId="11" fillId="0" borderId="14" xfId="0" applyFont="1" applyBorder="1" applyAlignment="1">
      <alignment vertical="center"/>
    </xf>
    <xf numFmtId="168" fontId="0" fillId="0" borderId="54" xfId="0" applyNumberFormat="1" applyBorder="1" applyAlignment="1">
      <alignment horizontal="center" vertical="top"/>
    </xf>
    <xf numFmtId="168" fontId="11" fillId="15" borderId="57" xfId="0" applyNumberFormat="1" applyFont="1" applyFill="1" applyBorder="1" applyAlignment="1">
      <alignment horizontal="center" vertical="top"/>
    </xf>
    <xf numFmtId="168" fontId="0" fillId="0" borderId="55" xfId="0" applyNumberFormat="1" applyBorder="1" applyAlignment="1">
      <alignment horizontal="center" vertical="top"/>
    </xf>
    <xf numFmtId="3" fontId="8" fillId="13" borderId="20" xfId="0" applyNumberFormat="1" applyFont="1" applyFill="1" applyBorder="1" applyAlignment="1">
      <alignment horizontal="center" vertical="top"/>
    </xf>
    <xf numFmtId="3" fontId="8" fillId="13" borderId="29" xfId="0" applyNumberFormat="1" applyFont="1" applyFill="1" applyBorder="1" applyAlignment="1">
      <alignment horizontal="center" vertical="top"/>
    </xf>
    <xf numFmtId="9" fontId="11" fillId="22" borderId="87" xfId="2" applyFont="1" applyFill="1" applyBorder="1" applyAlignment="1">
      <alignment horizontal="center" vertical="top"/>
    </xf>
    <xf numFmtId="3" fontId="11" fillId="0" borderId="14" xfId="0" applyNumberFormat="1" applyFont="1" applyBorder="1" applyAlignment="1">
      <alignment horizontal="center" vertical="top"/>
    </xf>
    <xf numFmtId="3" fontId="11" fillId="0" borderId="71" xfId="0" applyNumberFormat="1" applyFont="1" applyBorder="1" applyAlignment="1">
      <alignment horizontal="center" vertical="top"/>
    </xf>
    <xf numFmtId="3" fontId="11" fillId="13" borderId="14" xfId="0" applyNumberFormat="1" applyFont="1" applyFill="1" applyBorder="1" applyAlignment="1">
      <alignment horizontal="center" vertical="top"/>
    </xf>
    <xf numFmtId="3" fontId="11" fillId="13" borderId="10" xfId="0" applyNumberFormat="1" applyFont="1" applyFill="1" applyBorder="1" applyAlignment="1">
      <alignment horizontal="center" vertical="top"/>
    </xf>
    <xf numFmtId="3" fontId="0" fillId="0" borderId="72" xfId="0" applyNumberFormat="1" applyBorder="1" applyAlignment="1">
      <alignment horizontal="center" vertical="top"/>
    </xf>
    <xf numFmtId="9" fontId="11" fillId="22" borderId="85" xfId="2" applyFont="1" applyFill="1" applyBorder="1" applyAlignment="1">
      <alignment horizontal="center" vertical="top"/>
    </xf>
    <xf numFmtId="166" fontId="0" fillId="0" borderId="19" xfId="1" applyNumberFormat="1" applyFont="1" applyBorder="1" applyAlignment="1">
      <alignment horizontal="center" vertical="top"/>
    </xf>
    <xf numFmtId="166" fontId="0" fillId="0" borderId="0" xfId="1" applyNumberFormat="1" applyFont="1" applyBorder="1" applyAlignment="1">
      <alignment horizontal="center" vertical="top"/>
    </xf>
    <xf numFmtId="0" fontId="0" fillId="0" borderId="19" xfId="0" applyBorder="1">
      <alignment vertical="top"/>
    </xf>
    <xf numFmtId="0" fontId="11" fillId="9" borderId="12" xfId="0" applyFont="1" applyFill="1" applyBorder="1" applyAlignment="1">
      <alignment horizontal="center" vertical="center" wrapText="1"/>
    </xf>
    <xf numFmtId="168" fontId="0" fillId="0" borderId="14" xfId="0" applyNumberFormat="1" applyBorder="1" applyAlignment="1">
      <alignment horizontal="center" vertical="top"/>
    </xf>
    <xf numFmtId="9" fontId="0" fillId="0" borderId="59" xfId="2" applyFont="1" applyBorder="1" applyAlignment="1">
      <alignment horizontal="center" vertical="top"/>
    </xf>
    <xf numFmtId="0" fontId="0" fillId="0" borderId="85" xfId="0" applyBorder="1">
      <alignment vertical="top"/>
    </xf>
    <xf numFmtId="166" fontId="11" fillId="0" borderId="71" xfId="1" applyNumberFormat="1" applyFont="1" applyFill="1" applyBorder="1" applyAlignment="1">
      <alignment horizontal="center" vertical="top"/>
    </xf>
    <xf numFmtId="9" fontId="0" fillId="0" borderId="71" xfId="2" applyFont="1" applyFill="1" applyBorder="1" applyAlignment="1">
      <alignment horizontal="center" vertical="top"/>
    </xf>
    <xf numFmtId="3" fontId="11" fillId="0" borderId="85" xfId="0" applyNumberFormat="1" applyFont="1" applyBorder="1" applyAlignment="1">
      <alignment horizontal="center" vertical="top"/>
    </xf>
    <xf numFmtId="9" fontId="0" fillId="22" borderId="86" xfId="2" applyFont="1" applyFill="1" applyBorder="1" applyAlignment="1">
      <alignment horizontal="center" vertical="top"/>
    </xf>
    <xf numFmtId="9" fontId="0" fillId="22" borderId="84" xfId="2" applyFont="1" applyFill="1" applyBorder="1" applyAlignment="1">
      <alignment horizontal="center" vertical="top"/>
    </xf>
    <xf numFmtId="166" fontId="0" fillId="0" borderId="15" xfId="0" applyNumberFormat="1" applyBorder="1" applyAlignment="1">
      <alignment horizontal="center" vertical="top"/>
    </xf>
    <xf numFmtId="166" fontId="0" fillId="0" borderId="87" xfId="0" applyNumberFormat="1" applyBorder="1" applyAlignment="1">
      <alignment horizontal="center" vertical="top"/>
    </xf>
    <xf numFmtId="166" fontId="0" fillId="0" borderId="85" xfId="0" applyNumberFormat="1" applyBorder="1" applyAlignment="1">
      <alignment horizontal="center" vertical="top"/>
    </xf>
    <xf numFmtId="166" fontId="11" fillId="13" borderId="15" xfId="1" applyNumberFormat="1" applyFont="1" applyFill="1" applyBorder="1" applyAlignment="1">
      <alignment horizontal="center" vertical="top"/>
    </xf>
    <xf numFmtId="166" fontId="11" fillId="0" borderId="59" xfId="1" applyNumberFormat="1" applyFont="1" applyFill="1" applyBorder="1" applyAlignment="1">
      <alignment horizontal="center" vertical="top"/>
    </xf>
    <xf numFmtId="166" fontId="11" fillId="0" borderId="16" xfId="1" applyNumberFormat="1" applyFont="1" applyFill="1" applyBorder="1" applyAlignment="1">
      <alignment horizontal="center" vertical="top"/>
    </xf>
    <xf numFmtId="9" fontId="11" fillId="22" borderId="19" xfId="2" applyFont="1" applyFill="1" applyBorder="1" applyAlignment="1">
      <alignment horizontal="center" vertical="top"/>
    </xf>
    <xf numFmtId="1" fontId="11" fillId="0" borderId="14" xfId="1" applyNumberFormat="1" applyFont="1" applyFill="1" applyBorder="1" applyAlignment="1">
      <alignment horizontal="center" vertical="top"/>
    </xf>
    <xf numFmtId="1" fontId="11" fillId="0" borderId="15" xfId="1" applyNumberFormat="1" applyFont="1" applyFill="1" applyBorder="1" applyAlignment="1">
      <alignment horizontal="center" vertical="top"/>
    </xf>
    <xf numFmtId="1" fontId="11" fillId="0" borderId="59" xfId="1" applyNumberFormat="1" applyFont="1" applyFill="1" applyBorder="1" applyAlignment="1">
      <alignment horizontal="center" vertical="top"/>
    </xf>
    <xf numFmtId="1" fontId="0" fillId="0" borderId="85" xfId="0" applyNumberFormat="1" applyBorder="1" applyAlignment="1">
      <alignment horizontal="center" vertical="top"/>
    </xf>
    <xf numFmtId="1" fontId="11" fillId="0" borderId="85" xfId="1" applyNumberFormat="1" applyFont="1" applyFill="1" applyBorder="1" applyAlignment="1">
      <alignment horizontal="center" vertical="top"/>
    </xf>
    <xf numFmtId="1" fontId="0" fillId="0" borderId="10" xfId="0" applyNumberFormat="1" applyBorder="1" applyAlignment="1">
      <alignment horizontal="center" vertical="top"/>
    </xf>
    <xf numFmtId="9" fontId="0" fillId="22" borderId="85" xfId="2" applyFont="1" applyFill="1" applyBorder="1" applyAlignment="1">
      <alignment horizontal="center" vertical="top"/>
    </xf>
    <xf numFmtId="168" fontId="0" fillId="0" borderId="3" xfId="0" applyNumberFormat="1" applyBorder="1" applyAlignment="1">
      <alignment horizontal="center" vertical="top"/>
    </xf>
    <xf numFmtId="168" fontId="11" fillId="15" borderId="34" xfId="0" applyNumberFormat="1" applyFont="1" applyFill="1" applyBorder="1" applyAlignment="1">
      <alignment horizontal="center" vertical="top"/>
    </xf>
    <xf numFmtId="168" fontId="11" fillId="15" borderId="8" xfId="0" applyNumberFormat="1" applyFont="1" applyFill="1" applyBorder="1" applyAlignment="1">
      <alignment horizontal="center" vertical="top"/>
    </xf>
    <xf numFmtId="168" fontId="11" fillId="15" borderId="9" xfId="0" applyNumberFormat="1" applyFont="1" applyFill="1" applyBorder="1" applyAlignment="1">
      <alignment horizontal="center" vertical="top"/>
    </xf>
    <xf numFmtId="0" fontId="11" fillId="11" borderId="83" xfId="0" applyFont="1" applyFill="1" applyBorder="1" applyAlignment="1">
      <alignment horizontal="center" vertical="center" wrapText="1"/>
    </xf>
    <xf numFmtId="168" fontId="0" fillId="0" borderId="4" xfId="0" applyNumberFormat="1" applyBorder="1" applyAlignment="1">
      <alignment horizontal="center" vertical="top"/>
    </xf>
    <xf numFmtId="168" fontId="11" fillId="15" borderId="47" xfId="0" applyNumberFormat="1" applyFont="1" applyFill="1" applyBorder="1" applyAlignment="1">
      <alignment horizontal="center" vertical="top"/>
    </xf>
    <xf numFmtId="168" fontId="0" fillId="0" borderId="80" xfId="0" applyNumberFormat="1" applyBorder="1" applyAlignment="1">
      <alignment horizontal="center" vertical="top"/>
    </xf>
    <xf numFmtId="168" fontId="0" fillId="0" borderId="56" xfId="0" applyNumberFormat="1" applyBorder="1" applyAlignment="1">
      <alignment horizontal="center" vertical="top"/>
    </xf>
    <xf numFmtId="0" fontId="12" fillId="3" borderId="1" xfId="3" applyFont="1" applyFill="1" applyBorder="1" applyAlignment="1">
      <alignment horizontal="center" vertical="center"/>
    </xf>
    <xf numFmtId="0" fontId="17" fillId="5" borderId="1" xfId="0" applyFont="1" applyFill="1" applyBorder="1" applyAlignment="1">
      <alignment horizontal="center" vertical="center"/>
    </xf>
    <xf numFmtId="0" fontId="17" fillId="5" borderId="4" xfId="0" applyFont="1" applyFill="1" applyBorder="1" applyAlignment="1">
      <alignment horizontal="center" vertical="center"/>
    </xf>
    <xf numFmtId="0" fontId="17" fillId="5" borderId="5" xfId="0" applyFont="1" applyFill="1" applyBorder="1" applyAlignment="1">
      <alignment horizontal="center" vertical="center"/>
    </xf>
    <xf numFmtId="0" fontId="11" fillId="0" borderId="12" xfId="0" applyFont="1" applyBorder="1" applyAlignment="1">
      <alignment horizontal="right" vertical="center"/>
    </xf>
    <xf numFmtId="0" fontId="11" fillId="0" borderId="15" xfId="0" applyFont="1" applyBorder="1" applyAlignment="1">
      <alignment horizontal="right" vertical="center"/>
    </xf>
    <xf numFmtId="0" fontId="9" fillId="4" borderId="1" xfId="3" applyFont="1" applyFill="1" applyBorder="1" applyAlignment="1">
      <alignment horizontal="center" vertical="center"/>
    </xf>
    <xf numFmtId="0" fontId="7" fillId="0" borderId="0" xfId="3" applyAlignment="1">
      <alignment horizontal="center" vertical="center"/>
    </xf>
    <xf numFmtId="0" fontId="9" fillId="4" borderId="4" xfId="3" applyFont="1" applyFill="1" applyBorder="1" applyAlignment="1">
      <alignment horizontal="center" vertical="center"/>
    </xf>
    <xf numFmtId="0" fontId="9" fillId="4" borderId="6" xfId="3" applyFont="1" applyFill="1" applyBorder="1" applyAlignment="1">
      <alignment horizontal="center" vertical="center"/>
    </xf>
    <xf numFmtId="0" fontId="9" fillId="4" borderId="5" xfId="3" applyFont="1" applyFill="1" applyBorder="1" applyAlignment="1">
      <alignment horizontal="center" vertical="center"/>
    </xf>
    <xf numFmtId="0" fontId="1" fillId="0" borderId="0" xfId="3" applyFont="1" applyAlignment="1">
      <alignment horizontal="center" vertical="center"/>
    </xf>
    <xf numFmtId="0" fontId="16" fillId="13" borderId="44" xfId="0" applyFont="1" applyFill="1" applyBorder="1" applyAlignment="1">
      <alignment horizontal="center" vertical="center" wrapText="1"/>
    </xf>
    <xf numFmtId="0" fontId="16" fillId="13" borderId="6" xfId="0" applyFont="1" applyFill="1" applyBorder="1" applyAlignment="1">
      <alignment horizontal="center" vertical="center" wrapText="1"/>
    </xf>
    <xf numFmtId="0" fontId="16" fillId="13" borderId="45" xfId="0" applyFont="1" applyFill="1" applyBorder="1" applyAlignment="1">
      <alignment horizontal="center" vertical="center" wrapText="1"/>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38" fillId="0" borderId="4" xfId="0" applyFont="1" applyBorder="1" applyAlignment="1">
      <alignment horizontal="center" vertical="top"/>
    </xf>
    <xf numFmtId="0" fontId="38" fillId="0" borderId="6" xfId="0" applyFont="1" applyBorder="1" applyAlignment="1">
      <alignment horizontal="center" vertical="top"/>
    </xf>
    <xf numFmtId="0" fontId="38" fillId="0" borderId="5" xfId="0" applyFont="1" applyBorder="1" applyAlignment="1">
      <alignment horizontal="center" vertical="top"/>
    </xf>
    <xf numFmtId="0" fontId="38" fillId="0" borderId="1" xfId="0" applyFont="1" applyBorder="1" applyAlignment="1">
      <alignment horizontal="center" vertical="top"/>
    </xf>
    <xf numFmtId="0" fontId="17" fillId="5" borderId="28" xfId="0" applyFont="1" applyFill="1" applyBorder="1" applyAlignment="1">
      <alignment horizontal="center" vertical="center"/>
    </xf>
    <xf numFmtId="0" fontId="17" fillId="5" borderId="30" xfId="0" applyFont="1" applyFill="1" applyBorder="1" applyAlignment="1">
      <alignment horizontal="center" vertical="center"/>
    </xf>
    <xf numFmtId="0" fontId="17" fillId="5" borderId="17" xfId="0" applyFont="1" applyFill="1" applyBorder="1" applyAlignment="1">
      <alignment horizontal="center" vertical="center"/>
    </xf>
    <xf numFmtId="0" fontId="17" fillId="5" borderId="83" xfId="0" applyFont="1" applyFill="1" applyBorder="1" applyAlignment="1">
      <alignment horizontal="center" vertical="center"/>
    </xf>
    <xf numFmtId="0" fontId="17" fillId="5" borderId="52" xfId="0" applyFont="1" applyFill="1" applyBorder="1" applyAlignment="1">
      <alignment horizontal="center" vertical="center"/>
    </xf>
    <xf numFmtId="0" fontId="14" fillId="0" borderId="1" xfId="3" applyFont="1" applyBorder="1" applyAlignment="1">
      <alignment horizontal="center" vertical="center"/>
    </xf>
    <xf numFmtId="0" fontId="14" fillId="0" borderId="29" xfId="3" applyFont="1" applyBorder="1" applyAlignment="1">
      <alignment horizontal="center" vertical="center"/>
    </xf>
    <xf numFmtId="0" fontId="31" fillId="13" borderId="6" xfId="3" applyFont="1" applyFill="1" applyBorder="1" applyAlignment="1">
      <alignment horizontal="center" vertical="center"/>
    </xf>
    <xf numFmtId="0" fontId="31" fillId="13" borderId="45" xfId="3" applyFont="1" applyFill="1" applyBorder="1" applyAlignment="1">
      <alignment horizontal="center" vertical="center"/>
    </xf>
    <xf numFmtId="0" fontId="31" fillId="13" borderId="6" xfId="0" applyFont="1" applyFill="1" applyBorder="1" applyAlignment="1">
      <alignment horizontal="center" vertical="center"/>
    </xf>
    <xf numFmtId="0" fontId="31" fillId="13" borderId="45" xfId="0" applyFont="1" applyFill="1" applyBorder="1" applyAlignment="1">
      <alignment horizontal="center" vertical="center"/>
    </xf>
    <xf numFmtId="164" fontId="13" fillId="13" borderId="6" xfId="2" applyNumberFormat="1" applyFont="1" applyFill="1" applyBorder="1" applyAlignment="1">
      <alignment horizontal="center" vertical="center"/>
    </xf>
    <xf numFmtId="164" fontId="13" fillId="13" borderId="45" xfId="2" applyNumberFormat="1" applyFont="1" applyFill="1" applyBorder="1" applyAlignment="1">
      <alignment horizontal="center" vertical="center"/>
    </xf>
    <xf numFmtId="0" fontId="29" fillId="13" borderId="6" xfId="0" applyFont="1" applyFill="1" applyBorder="1" applyAlignment="1">
      <alignment horizontal="center" vertical="center" wrapText="1"/>
    </xf>
    <xf numFmtId="0" fontId="29" fillId="13" borderId="45" xfId="0" applyFont="1" applyFill="1" applyBorder="1" applyAlignment="1">
      <alignment horizontal="center" vertical="center" wrapText="1"/>
    </xf>
    <xf numFmtId="0" fontId="31" fillId="13" borderId="33" xfId="0" applyFont="1" applyFill="1" applyBorder="1" applyAlignment="1">
      <alignment horizontal="center" vertical="center" wrapText="1"/>
    </xf>
    <xf numFmtId="0" fontId="31" fillId="13" borderId="48" xfId="0" applyFont="1" applyFill="1" applyBorder="1" applyAlignment="1">
      <alignment horizontal="center" vertical="center" wrapText="1"/>
    </xf>
    <xf numFmtId="0" fontId="29" fillId="13" borderId="44" xfId="3" applyFont="1" applyFill="1" applyBorder="1" applyAlignment="1">
      <alignment horizontal="center" vertical="center"/>
    </xf>
    <xf numFmtId="0" fontId="29" fillId="13" borderId="45" xfId="3" applyFont="1" applyFill="1" applyBorder="1" applyAlignment="1">
      <alignment horizontal="center" vertical="center"/>
    </xf>
    <xf numFmtId="0" fontId="29" fillId="13" borderId="44" xfId="0" applyFont="1" applyFill="1" applyBorder="1" applyAlignment="1">
      <alignment horizontal="center" vertical="center"/>
    </xf>
    <xf numFmtId="0" fontId="29" fillId="13" borderId="45" xfId="0" applyFont="1" applyFill="1" applyBorder="1" applyAlignment="1">
      <alignment horizontal="center" vertical="center"/>
    </xf>
    <xf numFmtId="0" fontId="30" fillId="13" borderId="44" xfId="0" applyFont="1" applyFill="1" applyBorder="1" applyAlignment="1">
      <alignment horizontal="center" vertical="center"/>
    </xf>
    <xf numFmtId="0" fontId="30" fillId="13" borderId="45" xfId="0" applyFont="1" applyFill="1" applyBorder="1" applyAlignment="1">
      <alignment horizontal="center" vertical="center"/>
    </xf>
    <xf numFmtId="0" fontId="29" fillId="13" borderId="46" xfId="0" applyFont="1" applyFill="1" applyBorder="1" applyAlignment="1">
      <alignment horizontal="center" vertical="center"/>
    </xf>
    <xf numFmtId="0" fontId="29" fillId="13" borderId="48" xfId="0" applyFont="1" applyFill="1" applyBorder="1" applyAlignment="1">
      <alignment horizontal="center" vertical="center"/>
    </xf>
    <xf numFmtId="164" fontId="29" fillId="13" borderId="44" xfId="2" applyNumberFormat="1" applyFont="1" applyFill="1" applyBorder="1" applyAlignment="1">
      <alignment horizontal="center" vertical="center"/>
    </xf>
    <xf numFmtId="164" fontId="29" fillId="13" borderId="45" xfId="2" applyNumberFormat="1" applyFont="1" applyFill="1" applyBorder="1" applyAlignment="1">
      <alignment horizontal="center" vertical="center"/>
    </xf>
    <xf numFmtId="0" fontId="29" fillId="13" borderId="44" xfId="2" applyNumberFormat="1" applyFont="1" applyFill="1" applyBorder="1" applyAlignment="1">
      <alignment horizontal="center" vertical="center"/>
    </xf>
    <xf numFmtId="0" fontId="29" fillId="13" borderId="45" xfId="2" applyNumberFormat="1" applyFont="1" applyFill="1" applyBorder="1" applyAlignment="1">
      <alignment horizontal="center" vertical="center"/>
    </xf>
    <xf numFmtId="0" fontId="16" fillId="0" borderId="44" xfId="0" applyFont="1" applyBorder="1" applyAlignment="1">
      <alignment horizontal="center" vertical="top"/>
    </xf>
    <xf numFmtId="0" fontId="16" fillId="0" borderId="45" xfId="0" applyFont="1" applyBorder="1" applyAlignment="1">
      <alignment horizontal="center" vertical="top"/>
    </xf>
    <xf numFmtId="0" fontId="29" fillId="13" borderId="6" xfId="2" applyNumberFormat="1" applyFont="1" applyFill="1" applyBorder="1" applyAlignment="1">
      <alignment horizontal="center" vertical="center"/>
    </xf>
    <xf numFmtId="2" fontId="29" fillId="13" borderId="6" xfId="0" applyNumberFormat="1" applyFont="1" applyFill="1" applyBorder="1" applyAlignment="1">
      <alignment horizontal="center" vertical="center" wrapText="1"/>
    </xf>
    <xf numFmtId="2" fontId="29" fillId="13" borderId="45" xfId="0" applyNumberFormat="1" applyFont="1" applyFill="1" applyBorder="1" applyAlignment="1">
      <alignment horizontal="center" vertical="center" wrapText="1"/>
    </xf>
    <xf numFmtId="0" fontId="16" fillId="0" borderId="6" xfId="0" applyFont="1" applyBorder="1" applyAlignment="1">
      <alignment horizontal="center" vertical="top"/>
    </xf>
    <xf numFmtId="0" fontId="30" fillId="13" borderId="6" xfId="0" applyFont="1" applyFill="1" applyBorder="1" applyAlignment="1">
      <alignment horizontal="center" vertical="center" wrapText="1"/>
    </xf>
    <xf numFmtId="0" fontId="30" fillId="13" borderId="45" xfId="0" applyFont="1" applyFill="1" applyBorder="1" applyAlignment="1">
      <alignment horizontal="center" vertical="center" wrapText="1"/>
    </xf>
    <xf numFmtId="0" fontId="31" fillId="13" borderId="44" xfId="3" applyFont="1" applyFill="1" applyBorder="1" applyAlignment="1">
      <alignment horizontal="center" vertical="center"/>
    </xf>
    <xf numFmtId="2" fontId="31" fillId="13" borderId="44" xfId="0" applyNumberFormat="1" applyFont="1" applyFill="1" applyBorder="1" applyAlignment="1">
      <alignment horizontal="center" vertical="center" wrapText="1"/>
    </xf>
    <xf numFmtId="2" fontId="31" fillId="13" borderId="45" xfId="0" applyNumberFormat="1" applyFont="1" applyFill="1" applyBorder="1" applyAlignment="1">
      <alignment horizontal="center" vertical="center" wrapText="1"/>
    </xf>
    <xf numFmtId="2" fontId="29" fillId="13" borderId="44" xfId="0" applyNumberFormat="1" applyFont="1" applyFill="1" applyBorder="1" applyAlignment="1">
      <alignment horizontal="center" vertical="center"/>
    </xf>
    <xf numFmtId="2" fontId="29" fillId="13" borderId="45" xfId="0" applyNumberFormat="1" applyFont="1" applyFill="1" applyBorder="1" applyAlignment="1">
      <alignment horizontal="center" vertical="center"/>
    </xf>
    <xf numFmtId="0" fontId="29" fillId="13" borderId="20" xfId="2" applyNumberFormat="1" applyFont="1" applyFill="1" applyBorder="1" applyAlignment="1">
      <alignment horizontal="center" vertical="center"/>
    </xf>
    <xf numFmtId="0" fontId="29" fillId="13" borderId="4" xfId="2" applyNumberFormat="1" applyFont="1" applyFill="1" applyBorder="1" applyAlignment="1">
      <alignment horizontal="center" vertical="center"/>
    </xf>
    <xf numFmtId="2" fontId="29" fillId="13" borderId="20" xfId="0" applyNumberFormat="1" applyFont="1" applyFill="1" applyBorder="1" applyAlignment="1">
      <alignment horizontal="center" vertical="center"/>
    </xf>
    <xf numFmtId="2" fontId="29" fillId="13" borderId="4" xfId="0" applyNumberFormat="1" applyFont="1" applyFill="1" applyBorder="1" applyAlignment="1">
      <alignment horizontal="center" vertical="center"/>
    </xf>
    <xf numFmtId="0" fontId="29" fillId="13" borderId="20" xfId="3" applyFont="1" applyFill="1" applyBorder="1" applyAlignment="1">
      <alignment horizontal="center" vertical="center"/>
    </xf>
    <xf numFmtId="0" fontId="29" fillId="13" borderId="29" xfId="3" applyFont="1" applyFill="1" applyBorder="1" applyAlignment="1">
      <alignment horizontal="center" vertical="center"/>
    </xf>
    <xf numFmtId="0" fontId="29" fillId="13" borderId="20" xfId="0" applyFont="1" applyFill="1" applyBorder="1" applyAlignment="1">
      <alignment horizontal="center" vertical="center"/>
    </xf>
    <xf numFmtId="0" fontId="29" fillId="13" borderId="29" xfId="0" applyFont="1" applyFill="1" applyBorder="1" applyAlignment="1">
      <alignment horizontal="center" vertical="center"/>
    </xf>
    <xf numFmtId="164" fontId="13" fillId="13" borderId="20" xfId="2" applyNumberFormat="1" applyFont="1" applyFill="1" applyBorder="1" applyAlignment="1">
      <alignment horizontal="center" vertical="center"/>
    </xf>
    <xf numFmtId="164" fontId="13" fillId="13" borderId="29" xfId="2" applyNumberFormat="1" applyFont="1" applyFill="1" applyBorder="1" applyAlignment="1">
      <alignment horizontal="center" vertical="center"/>
    </xf>
    <xf numFmtId="0" fontId="29" fillId="13" borderId="29" xfId="2" applyNumberFormat="1" applyFont="1" applyFill="1" applyBorder="1" applyAlignment="1">
      <alignment horizontal="center" vertical="center"/>
    </xf>
    <xf numFmtId="0" fontId="29" fillId="13" borderId="4" xfId="3" applyFont="1" applyFill="1" applyBorder="1" applyAlignment="1">
      <alignment horizontal="center" vertical="center"/>
    </xf>
    <xf numFmtId="0" fontId="29" fillId="13" borderId="4" xfId="0" applyFont="1" applyFill="1" applyBorder="1" applyAlignment="1">
      <alignment horizontal="center" vertical="center"/>
    </xf>
    <xf numFmtId="164" fontId="13" fillId="13" borderId="4" xfId="2" applyNumberFormat="1" applyFont="1" applyFill="1" applyBorder="1" applyAlignment="1">
      <alignment horizontal="center" vertical="center"/>
    </xf>
    <xf numFmtId="0" fontId="29" fillId="13" borderId="6" xfId="0" applyFont="1" applyFill="1" applyBorder="1" applyAlignment="1">
      <alignment horizontal="center" vertical="center"/>
    </xf>
    <xf numFmtId="164" fontId="13" fillId="13" borderId="44" xfId="2" applyNumberFormat="1" applyFont="1" applyFill="1" applyBorder="1" applyAlignment="1">
      <alignment horizontal="center" vertical="center"/>
    </xf>
    <xf numFmtId="2" fontId="29" fillId="13" borderId="44" xfId="2" applyNumberFormat="1" applyFont="1" applyFill="1" applyBorder="1" applyAlignment="1">
      <alignment horizontal="center" vertical="center"/>
    </xf>
    <xf numFmtId="2" fontId="29" fillId="13" borderId="6" xfId="2" applyNumberFormat="1" applyFont="1" applyFill="1" applyBorder="1" applyAlignment="1">
      <alignment horizontal="center" vertical="center"/>
    </xf>
    <xf numFmtId="2" fontId="29" fillId="13" borderId="6" xfId="0" applyNumberFormat="1" applyFont="1" applyFill="1" applyBorder="1" applyAlignment="1">
      <alignment horizontal="center" vertical="center"/>
    </xf>
    <xf numFmtId="2" fontId="29" fillId="13" borderId="29" xfId="0" applyNumberFormat="1" applyFont="1" applyFill="1" applyBorder="1" applyAlignment="1">
      <alignment horizontal="center" vertical="center"/>
    </xf>
    <xf numFmtId="9" fontId="29" fillId="13" borderId="44" xfId="0" applyNumberFormat="1" applyFont="1" applyFill="1" applyBorder="1" applyAlignment="1">
      <alignment horizontal="center" vertical="center" wrapText="1"/>
    </xf>
    <xf numFmtId="9" fontId="29" fillId="13" borderId="6" xfId="0" applyNumberFormat="1" applyFont="1" applyFill="1" applyBorder="1" applyAlignment="1">
      <alignment horizontal="center" vertical="center" wrapText="1"/>
    </xf>
    <xf numFmtId="9" fontId="31" fillId="13" borderId="44" xfId="0" applyNumberFormat="1" applyFont="1" applyFill="1" applyBorder="1" applyAlignment="1">
      <alignment horizontal="center" vertical="center" wrapText="1"/>
    </xf>
    <xf numFmtId="9" fontId="31" fillId="13" borderId="6" xfId="0" applyNumberFormat="1" applyFont="1" applyFill="1" applyBorder="1" applyAlignment="1">
      <alignment horizontal="center" vertical="center" wrapText="1"/>
    </xf>
    <xf numFmtId="0" fontId="16" fillId="16" borderId="44" xfId="0" applyFont="1" applyFill="1" applyBorder="1" applyAlignment="1">
      <alignment horizontal="center" vertical="top"/>
    </xf>
    <xf numFmtId="0" fontId="16" fillId="16" borderId="45" xfId="0" applyFont="1" applyFill="1" applyBorder="1" applyAlignment="1">
      <alignment horizontal="center" vertical="top"/>
    </xf>
    <xf numFmtId="0" fontId="31" fillId="13" borderId="44" xfId="0" applyFont="1" applyFill="1" applyBorder="1" applyAlignment="1">
      <alignment horizontal="center" vertical="center"/>
    </xf>
    <xf numFmtId="0" fontId="29" fillId="13" borderId="33" xfId="0" applyFont="1" applyFill="1" applyBorder="1" applyAlignment="1">
      <alignment horizontal="center" vertical="center"/>
    </xf>
    <xf numFmtId="0" fontId="31" fillId="13" borderId="44" xfId="0" applyFont="1" applyFill="1" applyBorder="1" applyAlignment="1">
      <alignment horizontal="center" vertical="center" wrapText="1"/>
    </xf>
    <xf numFmtId="0" fontId="31" fillId="13" borderId="45" xfId="0" applyFont="1" applyFill="1" applyBorder="1" applyAlignment="1">
      <alignment horizontal="center" vertical="center" wrapText="1"/>
    </xf>
    <xf numFmtId="0" fontId="16" fillId="13" borderId="44" xfId="0" applyFont="1" applyFill="1" applyBorder="1" applyAlignment="1">
      <alignment horizontal="center" vertical="center"/>
    </xf>
    <xf numFmtId="0" fontId="16" fillId="13" borderId="6" xfId="0" applyFont="1" applyFill="1" applyBorder="1" applyAlignment="1">
      <alignment horizontal="center" vertical="center"/>
    </xf>
    <xf numFmtId="0" fontId="16" fillId="13" borderId="45" xfId="0" applyFont="1" applyFill="1" applyBorder="1" applyAlignment="1">
      <alignment horizontal="center" vertical="center"/>
    </xf>
    <xf numFmtId="0" fontId="30" fillId="13" borderId="42" xfId="0" applyFont="1" applyFill="1" applyBorder="1" applyAlignment="1">
      <alignment horizontal="center" vertical="center" wrapText="1"/>
    </xf>
    <xf numFmtId="0" fontId="30" fillId="13" borderId="43" xfId="0" applyFont="1" applyFill="1" applyBorder="1" applyAlignment="1">
      <alignment horizontal="center" vertical="center" wrapText="1"/>
    </xf>
    <xf numFmtId="0" fontId="30" fillId="13" borderId="15" xfId="0" applyFont="1" applyFill="1" applyBorder="1" applyAlignment="1">
      <alignment horizontal="center" vertical="center" wrapText="1"/>
    </xf>
    <xf numFmtId="0" fontId="30" fillId="13" borderId="16" xfId="0" applyFont="1" applyFill="1" applyBorder="1" applyAlignment="1">
      <alignment horizontal="center" vertical="center" wrapText="1"/>
    </xf>
    <xf numFmtId="0" fontId="30" fillId="13" borderId="42" xfId="3" applyFont="1" applyFill="1" applyBorder="1" applyAlignment="1">
      <alignment horizontal="center" vertical="center" wrapText="1"/>
    </xf>
    <xf numFmtId="0" fontId="30" fillId="13" borderId="43" xfId="3" applyFont="1" applyFill="1" applyBorder="1" applyAlignment="1">
      <alignment horizontal="center" vertical="center"/>
    </xf>
    <xf numFmtId="0" fontId="30" fillId="13" borderId="14" xfId="3" applyFont="1" applyFill="1" applyBorder="1" applyAlignment="1">
      <alignment horizontal="center" vertical="center"/>
    </xf>
    <xf numFmtId="0" fontId="30" fillId="13" borderId="10" xfId="3" applyFont="1" applyFill="1" applyBorder="1" applyAlignment="1">
      <alignment horizontal="center" vertical="center"/>
    </xf>
    <xf numFmtId="0" fontId="30" fillId="13" borderId="50" xfId="3" applyFont="1" applyFill="1" applyBorder="1" applyAlignment="1">
      <alignment horizontal="center" vertical="center"/>
    </xf>
    <xf numFmtId="0" fontId="30" fillId="13" borderId="82" xfId="3" applyFont="1" applyFill="1" applyBorder="1" applyAlignment="1">
      <alignment horizontal="center" vertical="center"/>
    </xf>
    <xf numFmtId="2" fontId="30" fillId="13" borderId="42" xfId="0" applyNumberFormat="1" applyFont="1" applyFill="1" applyBorder="1" applyAlignment="1">
      <alignment horizontal="center" vertical="center" wrapText="1"/>
    </xf>
    <xf numFmtId="2" fontId="30" fillId="13" borderId="43" xfId="0" applyNumberFormat="1" applyFont="1" applyFill="1" applyBorder="1" applyAlignment="1">
      <alignment horizontal="center" vertical="center" wrapText="1"/>
    </xf>
    <xf numFmtId="2" fontId="30" fillId="13" borderId="14" xfId="0" applyNumberFormat="1" applyFont="1" applyFill="1" applyBorder="1" applyAlignment="1">
      <alignment horizontal="center" vertical="center" wrapText="1"/>
    </xf>
    <xf numFmtId="2" fontId="30" fillId="13" borderId="10" xfId="0" applyNumberFormat="1" applyFont="1" applyFill="1" applyBorder="1" applyAlignment="1">
      <alignment horizontal="center" vertical="center" wrapText="1"/>
    </xf>
    <xf numFmtId="2" fontId="30" fillId="13" borderId="50" xfId="0" applyNumberFormat="1" applyFont="1" applyFill="1" applyBorder="1" applyAlignment="1">
      <alignment horizontal="center" vertical="center" wrapText="1"/>
    </xf>
    <xf numFmtId="2" fontId="30" fillId="13" borderId="82" xfId="0" applyNumberFormat="1" applyFont="1" applyFill="1" applyBorder="1" applyAlignment="1">
      <alignment horizontal="center" vertical="center" wrapText="1"/>
    </xf>
    <xf numFmtId="0" fontId="16" fillId="0" borderId="51" xfId="0" applyFont="1" applyBorder="1" applyAlignment="1">
      <alignment horizontal="center" vertical="top"/>
    </xf>
    <xf numFmtId="0" fontId="16" fillId="0" borderId="32" xfId="0" applyFont="1" applyBorder="1" applyAlignment="1">
      <alignment horizontal="center" vertical="top"/>
    </xf>
    <xf numFmtId="0" fontId="16" fillId="0" borderId="52" xfId="0" applyFont="1" applyBorder="1" applyAlignment="1">
      <alignment horizontal="center" vertical="top"/>
    </xf>
    <xf numFmtId="0" fontId="12" fillId="3" borderId="28" xfId="3" applyFont="1" applyFill="1" applyBorder="1" applyAlignment="1">
      <alignment horizontal="center" vertical="center"/>
    </xf>
    <xf numFmtId="0" fontId="12" fillId="3" borderId="17" xfId="3" applyFont="1" applyFill="1" applyBorder="1" applyAlignment="1">
      <alignment horizontal="center" vertical="center"/>
    </xf>
    <xf numFmtId="0" fontId="12" fillId="3" borderId="18" xfId="3" applyFont="1" applyFill="1" applyBorder="1" applyAlignment="1">
      <alignment horizontal="center" vertical="center"/>
    </xf>
    <xf numFmtId="0" fontId="11" fillId="0" borderId="75" xfId="0" applyFont="1" applyBorder="1" applyAlignment="1">
      <alignment horizontal="center" vertical="top"/>
    </xf>
    <xf numFmtId="0" fontId="11" fillId="0" borderId="86" xfId="0" applyFont="1" applyBorder="1" applyAlignment="1">
      <alignment horizontal="center" vertical="top"/>
    </xf>
    <xf numFmtId="0" fontId="11" fillId="0" borderId="87" xfId="0" applyFont="1" applyBorder="1" applyAlignment="1">
      <alignment horizontal="center" vertical="top"/>
    </xf>
    <xf numFmtId="0" fontId="11" fillId="0" borderId="72" xfId="0" applyFont="1" applyBorder="1" applyAlignment="1">
      <alignment horizontal="center" vertical="center"/>
    </xf>
    <xf numFmtId="0" fontId="11" fillId="0" borderId="59" xfId="0" applyFont="1" applyBorder="1" applyAlignment="1">
      <alignment horizontal="center" vertical="center"/>
    </xf>
    <xf numFmtId="0" fontId="66" fillId="0" borderId="75" xfId="0" applyFont="1" applyBorder="1" applyAlignment="1">
      <alignment horizontal="center" vertical="top"/>
    </xf>
    <xf numFmtId="0" fontId="66" fillId="0" borderId="86" xfId="0" applyFont="1" applyBorder="1" applyAlignment="1">
      <alignment horizontal="center" vertical="top"/>
    </xf>
    <xf numFmtId="0" fontId="66" fillId="0" borderId="87" xfId="0" applyFont="1" applyBorder="1" applyAlignment="1">
      <alignment horizontal="center" vertical="top"/>
    </xf>
    <xf numFmtId="0" fontId="11" fillId="0" borderId="12" xfId="0" applyFont="1" applyBorder="1" applyAlignment="1">
      <alignment horizontal="center" vertical="center"/>
    </xf>
    <xf numFmtId="0" fontId="11" fillId="0" borderId="15" xfId="0" applyFont="1" applyBorder="1" applyAlignment="1">
      <alignment horizontal="center" vertical="center"/>
    </xf>
    <xf numFmtId="0" fontId="11" fillId="0" borderId="71" xfId="0" applyFont="1" applyBorder="1" applyAlignment="1">
      <alignment horizontal="center" vertical="center"/>
    </xf>
    <xf numFmtId="0" fontId="8" fillId="0" borderId="12" xfId="0" applyFont="1" applyBorder="1" applyAlignment="1">
      <alignment horizontal="center" vertical="center"/>
    </xf>
    <xf numFmtId="0" fontId="8" fillId="0" borderId="19" xfId="0" applyFont="1" applyBorder="1" applyAlignment="1">
      <alignment horizontal="center" vertical="center"/>
    </xf>
    <xf numFmtId="0" fontId="8" fillId="0" borderId="70" xfId="0" applyFont="1" applyBorder="1" applyAlignment="1">
      <alignment horizontal="center" vertical="center"/>
    </xf>
    <xf numFmtId="0" fontId="8" fillId="0" borderId="69" xfId="0" applyFont="1" applyBorder="1" applyAlignment="1">
      <alignment horizontal="center" vertical="center"/>
    </xf>
    <xf numFmtId="0" fontId="8" fillId="0" borderId="13" xfId="0" applyFont="1" applyBorder="1" applyAlignment="1">
      <alignment horizontal="center" vertical="center"/>
    </xf>
    <xf numFmtId="0" fontId="9" fillId="20" borderId="0" xfId="8" applyFont="1" applyFill="1" applyAlignment="1">
      <alignment horizontal="center"/>
    </xf>
    <xf numFmtId="0" fontId="9" fillId="5" borderId="1" xfId="8" applyFont="1" applyFill="1" applyBorder="1" applyAlignment="1">
      <alignment horizontal="center"/>
    </xf>
    <xf numFmtId="0" fontId="9" fillId="5" borderId="0" xfId="8" applyFont="1" applyFill="1" applyAlignment="1">
      <alignment horizontal="center"/>
    </xf>
  </cellXfs>
  <cellStyles count="58">
    <cellStyle name="20% - Accent1" xfId="33" builtinId="30" customBuiltin="1"/>
    <cellStyle name="20% - Accent2" xfId="37" builtinId="34" customBuiltin="1"/>
    <cellStyle name="20% - Accent3" xfId="41" builtinId="38" customBuiltin="1"/>
    <cellStyle name="20% - Accent4" xfId="45" builtinId="42" customBuiltin="1"/>
    <cellStyle name="20% - Accent5" xfId="49" builtinId="46" customBuiltin="1"/>
    <cellStyle name="20% - Accent6" xfId="53" builtinId="50" customBuiltin="1"/>
    <cellStyle name="40% - Accent1" xfId="34" builtinId="31" customBuiltin="1"/>
    <cellStyle name="40% - Accent2" xfId="38" builtinId="35" customBuiltin="1"/>
    <cellStyle name="40% - Accent3" xfId="42" builtinId="39" customBuiltin="1"/>
    <cellStyle name="40% - Accent4" xfId="46" builtinId="43" customBuiltin="1"/>
    <cellStyle name="40% - Accent5" xfId="50" builtinId="47" customBuiltin="1"/>
    <cellStyle name="40% - Accent6" xfId="54" builtinId="51" customBuiltin="1"/>
    <cellStyle name="60% - Accent1" xfId="35" builtinId="32" customBuiltin="1"/>
    <cellStyle name="60% - Accent2" xfId="39" builtinId="36" customBuiltin="1"/>
    <cellStyle name="60% - Accent3" xfId="43" builtinId="40" customBuiltin="1"/>
    <cellStyle name="60% - Accent4" xfId="47" builtinId="44" customBuiltin="1"/>
    <cellStyle name="60% - Accent5" xfId="51" builtinId="48" customBuiltin="1"/>
    <cellStyle name="60% - Accent6" xfId="55" builtinId="52" customBuiltin="1"/>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2" builtinId="3"/>
    <cellStyle name="Currency" xfId="1" builtinId="4"/>
    <cellStyle name="Currency 2" xfId="14" xr:uid="{6ABC6302-425D-43C2-987F-75631B6B029E}"/>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2" xfId="3" xr:uid="{00000000-0005-0000-0000-000005000000}"/>
    <cellStyle name="Normal 2 2" xfId="8" xr:uid="{258875F7-CA93-43B6-B9C7-97DFC327D796}"/>
    <cellStyle name="Normal 3" xfId="5" xr:uid="{00000000-0005-0000-0000-000006000000}"/>
    <cellStyle name="Normal 4" xfId="7" xr:uid="{6FC4F4C1-C1EB-4D6E-996B-91BB50EFB3C1}"/>
    <cellStyle name="Normal 5" xfId="10" xr:uid="{1F049FCC-1F78-4808-BF11-1CE55B152FF7}"/>
    <cellStyle name="Normal 6" xfId="11" xr:uid="{9C7174A7-D290-4B75-B9E1-9328F6E0E6F4}"/>
    <cellStyle name="Normal 7" xfId="13" xr:uid="{292AC9A5-ADCC-41BC-A2B0-878947B77884}"/>
    <cellStyle name="Normal 8" xfId="56" xr:uid="{C3923D37-78B2-43B4-8ED0-905F8AA8661D}"/>
    <cellStyle name="Note 2" xfId="57" xr:uid="{246C56A3-17F8-44C7-B126-00BD12EC0CCA}"/>
    <cellStyle name="Output" xfId="25" builtinId="21" customBuiltin="1"/>
    <cellStyle name="Percent" xfId="2" builtinId="5"/>
    <cellStyle name="Percent 2" xfId="4" xr:uid="{00000000-0005-0000-0000-000008000000}"/>
    <cellStyle name="Percent 2 2" xfId="9" xr:uid="{D1CE3B32-6300-4997-A7AB-E2873177360E}"/>
    <cellStyle name="Percent 3" xfId="6" xr:uid="{7CD68CB6-9702-48CD-B0EC-87CC44DCA34A}"/>
    <cellStyle name="Percent 4" xfId="15" xr:uid="{6C1B9CFC-599B-40AB-9821-5C92A9627DEA}"/>
    <cellStyle name="Title" xfId="16" builtinId="15" customBuiltin="1"/>
    <cellStyle name="Total" xfId="31" builtinId="25" customBuiltin="1"/>
    <cellStyle name="Warning Text" xfId="29"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mruColors>
      <color rgb="FFBF311A"/>
      <color rgb="FFBAE1FE"/>
      <color rgb="FF01518C"/>
      <color rgb="FF9BBB59"/>
      <color rgb="FF339933"/>
      <color rgb="FF4BACC6"/>
      <color rgb="FF00CC00"/>
      <color rgb="FF33CCCC"/>
      <color rgb="FF6699FF"/>
      <color rgb="FFBAEF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Energy End</a:t>
            </a:r>
            <a:r>
              <a:rPr lang="en-US" baseline="0"/>
              <a:t> Use 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'T3D-End Use'!$B$5</c:f>
              <c:strCache>
                <c:ptCount val="1"/>
                <c:pt idx="0">
                  <c:v>Lighting</c:v>
                </c:pt>
              </c:strCache>
            </c:strRef>
          </c:tx>
          <c:spPr>
            <a:solidFill>
              <a:schemeClr val="accent1"/>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Use'!$C$5:$N$5</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A9E2-4C4D-8A6B-9F88BE682FCB}"/>
            </c:ext>
          </c:extLst>
        </c:ser>
        <c:ser>
          <c:idx val="1"/>
          <c:order val="1"/>
          <c:tx>
            <c:strRef>
              <c:f>'T3D-End Use'!$B$6</c:f>
              <c:strCache>
                <c:ptCount val="1"/>
                <c:pt idx="0">
                  <c:v>Heating</c:v>
                </c:pt>
              </c:strCache>
            </c:strRef>
          </c:tx>
          <c:spPr>
            <a:solidFill>
              <a:schemeClr val="accent2"/>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Use'!$C$6:$N$6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A9E2-4C4D-8A6B-9F88BE682FCB}"/>
            </c:ext>
          </c:extLst>
        </c:ser>
        <c:ser>
          <c:idx val="2"/>
          <c:order val="2"/>
          <c:tx>
            <c:strRef>
              <c:f>'T3D-End Use'!$B$7</c:f>
              <c:strCache>
                <c:ptCount val="1"/>
                <c:pt idx="0">
                  <c:v>Cooling</c:v>
                </c:pt>
              </c:strCache>
            </c:strRef>
          </c:tx>
          <c:spPr>
            <a:solidFill>
              <a:schemeClr val="accent3"/>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Use'!$C$7:$N$7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A9E2-4C4D-8A6B-9F88BE682FCB}"/>
            </c:ext>
          </c:extLst>
        </c:ser>
        <c:ser>
          <c:idx val="3"/>
          <c:order val="3"/>
          <c:tx>
            <c:strRef>
              <c:f>'T3D-End Use'!$B$8</c:f>
              <c:strCache>
                <c:ptCount val="1"/>
                <c:pt idx="0">
                  <c:v>Pumps</c:v>
                </c:pt>
              </c:strCache>
            </c:strRef>
          </c:tx>
          <c:spPr>
            <a:solidFill>
              <a:schemeClr val="accent4"/>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Use'!$C$8:$N$8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A9E2-4C4D-8A6B-9F88BE682FCB}"/>
            </c:ext>
          </c:extLst>
        </c:ser>
        <c:ser>
          <c:idx val="4"/>
          <c:order val="4"/>
          <c:tx>
            <c:strRef>
              <c:f>'T3D-End Use'!$B$9</c:f>
              <c:strCache>
                <c:ptCount val="1"/>
                <c:pt idx="0">
                  <c:v>Fans</c:v>
                </c:pt>
              </c:strCache>
            </c:strRef>
          </c:tx>
          <c:spPr>
            <a:solidFill>
              <a:schemeClr val="accent5"/>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Use'!$C$9:$N$9</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A9E2-4C4D-8A6B-9F88BE682FCB}"/>
            </c:ext>
          </c:extLst>
        </c:ser>
        <c:ser>
          <c:idx val="5"/>
          <c:order val="5"/>
          <c:tx>
            <c:strRef>
              <c:f>'T3D-End Use'!$B$10</c:f>
              <c:strCache>
                <c:ptCount val="1"/>
                <c:pt idx="0">
                  <c:v>Receptacles</c:v>
                </c:pt>
              </c:strCache>
            </c:strRef>
          </c:tx>
          <c:spPr>
            <a:solidFill>
              <a:schemeClr val="accent6"/>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Use'!$C$10:$N$10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A9E2-4C4D-8A6B-9F88BE682FCB}"/>
            </c:ext>
          </c:extLst>
        </c:ser>
        <c:ser>
          <c:idx val="6"/>
          <c:order val="6"/>
          <c:tx>
            <c:strRef>
              <c:f>'T3D-End Use'!$B$11</c:f>
              <c:strCache>
                <c:ptCount val="1"/>
                <c:pt idx="0">
                  <c:v>DHW</c:v>
                </c:pt>
              </c:strCache>
            </c:strRef>
          </c:tx>
          <c:spPr>
            <a:solidFill>
              <a:schemeClr val="accent1">
                <a:lumMod val="60000"/>
              </a:schemeClr>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Use'!$C$11:$N$11</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A9E2-4C4D-8A6B-9F88BE682FCB}"/>
            </c:ext>
          </c:extLst>
        </c:ser>
        <c:ser>
          <c:idx val="7"/>
          <c:order val="7"/>
          <c:tx>
            <c:strRef>
              <c:f>'T3D-End Use'!$B$12</c:f>
              <c:strCache>
                <c:ptCount val="1"/>
                <c:pt idx="0">
                  <c:v>Savings </c:v>
                </c:pt>
              </c:strCache>
            </c:strRef>
          </c:tx>
          <c:spPr>
            <a:pattFill prst="ltUpDiag">
              <a:fgClr>
                <a:schemeClr val="accent3"/>
              </a:fgClr>
              <a:bgClr>
                <a:schemeClr val="bg1"/>
              </a:bgClr>
            </a:pattFill>
            <a:ln>
              <a:noFill/>
            </a:ln>
            <a:effectLst/>
          </c:spPr>
          <c:invertIfNegative val="0"/>
          <c:dLbls>
            <c:dLbl>
              <c:idx val="0"/>
              <c:tx>
                <c:rich>
                  <a:bodyPr/>
                  <a:lstStyle/>
                  <a:p>
                    <a:fld id="{018C5DAB-9416-4295-A555-BBEAA86FD7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9E2-4C4D-8A6B-9F88BE682FCB}"/>
                </c:ext>
              </c:extLst>
            </c:dLbl>
            <c:dLbl>
              <c:idx val="1"/>
              <c:tx>
                <c:rich>
                  <a:bodyPr/>
                  <a:lstStyle/>
                  <a:p>
                    <a:fld id="{37435619-26C4-4A61-9884-EE9D8025B7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9E2-4C4D-8A6B-9F88BE682FCB}"/>
                </c:ext>
              </c:extLst>
            </c:dLbl>
            <c:dLbl>
              <c:idx val="2"/>
              <c:tx>
                <c:rich>
                  <a:bodyPr/>
                  <a:lstStyle/>
                  <a:p>
                    <a:fld id="{CD8CF613-30D3-489F-92A5-645D50E98D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9E2-4C4D-8A6B-9F88BE682FCB}"/>
                </c:ext>
              </c:extLst>
            </c:dLbl>
            <c:dLbl>
              <c:idx val="3"/>
              <c:tx>
                <c:rich>
                  <a:bodyPr/>
                  <a:lstStyle/>
                  <a:p>
                    <a:fld id="{0BE50BE1-5A5F-42EA-B5C0-7858276096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9E2-4C4D-8A6B-9F88BE682FCB}"/>
                </c:ext>
              </c:extLst>
            </c:dLbl>
            <c:dLbl>
              <c:idx val="4"/>
              <c:tx>
                <c:rich>
                  <a:bodyPr/>
                  <a:lstStyle/>
                  <a:p>
                    <a:fld id="{B219A1DD-FEDA-4027-83DF-6D96804C7F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9E2-4C4D-8A6B-9F88BE682FCB}"/>
                </c:ext>
              </c:extLst>
            </c:dLbl>
            <c:dLbl>
              <c:idx val="5"/>
              <c:tx>
                <c:rich>
                  <a:bodyPr/>
                  <a:lstStyle/>
                  <a:p>
                    <a:fld id="{50AD66A4-D146-4CBE-8D39-0C4CAF1C70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9E2-4C4D-8A6B-9F88BE682FCB}"/>
                </c:ext>
              </c:extLst>
            </c:dLbl>
            <c:dLbl>
              <c:idx val="6"/>
              <c:tx>
                <c:rich>
                  <a:bodyPr/>
                  <a:lstStyle/>
                  <a:p>
                    <a:fld id="{3C36FD60-B3D8-4FC7-B181-B693B1D89A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A9E2-4C4D-8A6B-9F88BE682FCB}"/>
                </c:ext>
              </c:extLst>
            </c:dLbl>
            <c:dLbl>
              <c:idx val="7"/>
              <c:tx>
                <c:rich>
                  <a:bodyPr/>
                  <a:lstStyle/>
                  <a:p>
                    <a:fld id="{3483B5B8-649B-46F1-92FB-0C01D46DB5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A9E2-4C4D-8A6B-9F88BE682FCB}"/>
                </c:ext>
              </c:extLst>
            </c:dLbl>
            <c:dLbl>
              <c:idx val="8"/>
              <c:tx>
                <c:rich>
                  <a:bodyPr/>
                  <a:lstStyle/>
                  <a:p>
                    <a:fld id="{7117788D-5F13-4544-B7EA-320C348048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9E2-4C4D-8A6B-9F88BE682F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Use'!$C$12:$N$12</c:f>
              <c:numCache>
                <c:formatCode>0.0</c:formatCode>
                <c:ptCount val="9"/>
                <c:pt idx="0" formatCode="_(* #,##0.0_);_(* \(#,##0.0\);_(* &quot;-&quot;?_);_(@_)">
                  <c:v>0</c:v>
                </c:pt>
                <c:pt idx="1">
                  <c:v>0</c:v>
                </c:pt>
                <c:pt idx="2">
                  <c:v>0</c:v>
                </c:pt>
                <c:pt idx="3">
                  <c:v>0</c:v>
                </c:pt>
                <c:pt idx="4">
                  <c:v>0</c:v>
                </c:pt>
                <c:pt idx="5">
                  <c:v>0</c:v>
                </c:pt>
                <c:pt idx="6">
                  <c:v>0</c:v>
                </c:pt>
                <c:pt idx="7">
                  <c:v>0</c:v>
                </c:pt>
                <c:pt idx="8">
                  <c:v>0</c:v>
                </c:pt>
              </c:numCache>
            </c:numRef>
          </c:val>
          <c:extLst>
            <c:ext xmlns:c15="http://schemas.microsoft.com/office/drawing/2012/chart" uri="{02D57815-91ED-43cb-92C2-25804820EDAC}">
              <c15:datalabelsRange>
                <c15:f>'T3D-End Use'!$C$16:$N$16</c15:f>
                <c15:dlblRangeCache>
                  <c:ptCount val="9"/>
                </c15:dlblRangeCache>
              </c15:datalabelsRange>
            </c:ext>
            <c:ext xmlns:c16="http://schemas.microsoft.com/office/drawing/2014/chart" uri="{C3380CC4-5D6E-409C-BE32-E72D297353CC}">
              <c16:uniqueId val="{00000010-A9E2-4C4D-8A6B-9F88BE682FCB}"/>
            </c:ext>
          </c:extLst>
        </c:ser>
        <c:dLbls>
          <c:showLegendKey val="0"/>
          <c:showVal val="0"/>
          <c:showCatName val="0"/>
          <c:showSerName val="0"/>
          <c:showPercent val="0"/>
          <c:showBubbleSize val="0"/>
        </c:dLbls>
        <c:gapWidth val="150"/>
        <c:overlap val="100"/>
        <c:axId val="1219553984"/>
        <c:axId val="1219555952"/>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Energy Use Intensity (kBtu/ft</a:t>
                </a:r>
                <a:r>
                  <a:rPr lang="en-US" baseline="30000"/>
                  <a:t>2</a:t>
                </a:r>
                <a:r>
                  <a:rPr lang="en-US"/>
                  <a:t>/yr)</a:t>
                </a:r>
              </a:p>
            </c:rich>
          </c:tx>
          <c:layout>
            <c:manualLayout>
              <c:xMode val="edge"/>
              <c:yMode val="edge"/>
              <c:x val="5.4158596352143373E-2"/>
              <c:y val="0.172719945439890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Geo + PV</a:t>
            </a:r>
          </a:p>
        </c:rich>
      </c:tx>
      <c:overlay val="0"/>
      <c:spPr>
        <a:noFill/>
        <a:ln>
          <a:noFill/>
        </a:ln>
        <a:effectLst/>
      </c:spPr>
    </c:title>
    <c:autoTitleDeleted val="0"/>
    <c:plotArea>
      <c:layout/>
      <c:lineChart>
        <c:grouping val="standard"/>
        <c:varyColors val="0"/>
        <c:ser>
          <c:idx val="3"/>
          <c:order val="0"/>
          <c:tx>
            <c:strRef>
              <c:f>'Garcia PV Study - mid data'!$O$1</c:f>
              <c:strCache>
                <c:ptCount val="1"/>
                <c:pt idx="0">
                  <c:v>Heating - Geo - PV</c:v>
                </c:pt>
              </c:strCache>
            </c:strRef>
          </c:tx>
          <c:marker>
            <c:symbol val="none"/>
          </c:marker>
          <c:cat>
            <c:strRef>
              <c:f>'Garcia PV Study - mid data'!$A$2:$A$13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'Garcia PV Study - mid data'!$O$2:$O$13</c:f>
              <c:numCache>
                <c:formatCode>0</c:formatCode>
                <c:ptCount val="12"/>
                <c:pt idx="0">
                  <c:v>3521.6706177777778</c:v>
                </c:pt>
                <c:pt idx="1">
                  <c:v>2761.7947311111111</c:v>
                </c:pt>
                <c:pt idx="2">
                  <c:v>2212.8520273333334</c:v>
                </c:pt>
                <c:pt idx="3">
                  <c:v>1640.3950815555554</c:v>
                </c:pt>
                <c:pt idx="4">
                  <c:v>860.1415202222222</c:v>
                </c:pt>
                <c:pt idx="5">
                  <c:v>651.75139422222219</c:v>
                </c:pt>
                <c:pt idx="6">
                  <c:v>625.04804491111111</c:v>
                </c:pt>
                <c:pt idx="7">
                  <c:v>634.13190135555556</c:v>
                </c:pt>
                <c:pt idx="8">
                  <c:v>763.48667666666665</c:v>
                </c:pt>
                <c:pt idx="9">
                  <c:v>1371.6542971111112</c:v>
                </c:pt>
                <c:pt idx="10">
                  <c:v>2006.1567499999999</c:v>
                </c:pt>
                <c:pt idx="11">
                  <c:v>2820.4302266666664</c:v>
                </c:pt>
              </c:numCache>
            </c:numRef>
          </c:val>
          <c:smooth val="0"/>
          <c:extLst>
            <c:ext xmlns:c16="http://schemas.microsoft.com/office/drawing/2014/chart" uri="{C3380CC4-5D6E-409C-BE32-E72D297353CC}">
              <c16:uniqueId val="{00000000-9624-4849-8356-FD319B0FC16B}"/>
            </c:ext>
          </c:extLst>
        </c:ser>
        <c:ser>
          <c:idx val="0"/>
          <c:order val="1"/>
          <c:tx>
            <c:strRef>
              <c:f>'Garcia PV Study - mid data'!$N$1</c:f>
              <c:strCache>
                <c:ptCount val="1"/>
                <c:pt idx="0">
                  <c:v>Cooling - Geo - PV</c:v>
                </c:pt>
              </c:strCache>
            </c:strRef>
          </c:tx>
          <c:spPr>
            <a:ln w="28575" cap="rnd">
              <a:solidFill>
                <a:schemeClr val="accent1"/>
              </a:solidFill>
              <a:round/>
            </a:ln>
            <a:effectLst/>
          </c:spPr>
          <c:marker>
            <c:symbol val="none"/>
          </c:marker>
          <c:cat>
            <c:strRef>
              <c:f>'Garcia PV Study - mid data'!$A$2:$A$13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'Garcia PV Study - mid data'!$N$2:$N$16</c:f>
              <c:numCache>
                <c:formatCode>0</c:formatCode>
                <c:ptCount val="15"/>
                <c:pt idx="0">
                  <c:v>875.38083526315779</c:v>
                </c:pt>
                <c:pt idx="1">
                  <c:v>629.27142790296057</c:v>
                </c:pt>
                <c:pt idx="2">
                  <c:v>358.45339616118417</c:v>
                </c:pt>
                <c:pt idx="3">
                  <c:v>-555.66177202193001</c:v>
                </c:pt>
                <c:pt idx="4">
                  <c:v>-755.14803727631579</c:v>
                </c:pt>
                <c:pt idx="5">
                  <c:v>-1192.5758818366228</c:v>
                </c:pt>
                <c:pt idx="6">
                  <c:v>-1462.2772622499999</c:v>
                </c:pt>
                <c:pt idx="7">
                  <c:v>-1082.0594967214911</c:v>
                </c:pt>
                <c:pt idx="8">
                  <c:v>-598.61876401480254</c:v>
                </c:pt>
                <c:pt idx="9">
                  <c:v>537.11910267434212</c:v>
                </c:pt>
                <c:pt idx="10">
                  <c:v>715.02399024835518</c:v>
                </c:pt>
                <c:pt idx="11">
                  <c:v>953.30410842598678</c:v>
                </c:pt>
              </c:numCache>
            </c:numRef>
          </c:val>
          <c:smooth val="0"/>
          <c:extLst>
            <c:ext xmlns:c16="http://schemas.microsoft.com/office/drawing/2014/chart" uri="{C3380CC4-5D6E-409C-BE32-E72D297353CC}">
              <c16:uniqueId val="{00000001-9624-4849-8356-FD319B0FC16B}"/>
            </c:ext>
          </c:extLst>
        </c:ser>
        <c:ser>
          <c:idx val="1"/>
          <c:order val="2"/>
          <c:tx>
            <c:strRef>
              <c:f>'Garcia PV Study - mid data'!$O$1</c:f>
              <c:strCache>
                <c:ptCount val="1"/>
                <c:pt idx="0">
                  <c:v>Heating - Geo - PV</c:v>
                </c:pt>
              </c:strCache>
            </c:strRef>
          </c:tx>
          <c:spPr>
            <a:ln w="28575" cap="rnd">
              <a:solidFill>
                <a:schemeClr val="accent2"/>
              </a:solidFill>
              <a:round/>
            </a:ln>
            <a:effectLst/>
          </c:spPr>
          <c:marker>
            <c:symbol val="none"/>
          </c:marker>
          <c:cat>
            <c:strRef>
              <c:f>'Garcia PV Study - mid data'!$A$2:$A$13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'Garcia PV Study - mid data'!$O$2:$O$16</c:f>
              <c:numCache>
                <c:formatCode>0</c:formatCode>
                <c:ptCount val="15"/>
                <c:pt idx="0">
                  <c:v>3521.6706177777778</c:v>
                </c:pt>
                <c:pt idx="1">
                  <c:v>2761.7947311111111</c:v>
                </c:pt>
                <c:pt idx="2">
                  <c:v>2212.8520273333334</c:v>
                </c:pt>
                <c:pt idx="3">
                  <c:v>1640.3950815555554</c:v>
                </c:pt>
                <c:pt idx="4">
                  <c:v>860.1415202222222</c:v>
                </c:pt>
                <c:pt idx="5">
                  <c:v>651.75139422222219</c:v>
                </c:pt>
                <c:pt idx="6">
                  <c:v>625.04804491111111</c:v>
                </c:pt>
                <c:pt idx="7">
                  <c:v>634.13190135555556</c:v>
                </c:pt>
                <c:pt idx="8">
                  <c:v>763.48667666666665</c:v>
                </c:pt>
                <c:pt idx="9">
                  <c:v>1371.6542971111112</c:v>
                </c:pt>
                <c:pt idx="10">
                  <c:v>2006.1567499999999</c:v>
                </c:pt>
                <c:pt idx="11">
                  <c:v>2820.4302266666664</c:v>
                </c:pt>
                <c:pt idx="12">
                  <c:v>0</c:v>
                </c:pt>
              </c:numCache>
            </c:numRef>
          </c:val>
          <c:smooth val="0"/>
          <c:extLst>
            <c:ext xmlns:c16="http://schemas.microsoft.com/office/drawing/2014/chart" uri="{C3380CC4-5D6E-409C-BE32-E72D297353CC}">
              <c16:uniqueId val="{00000002-9624-4849-8356-FD319B0FC16B}"/>
            </c:ext>
          </c:extLst>
        </c:ser>
        <c:dLbls>
          <c:showLegendKey val="0"/>
          <c:showVal val="0"/>
          <c:showCatName val="0"/>
          <c:showSerName val="0"/>
          <c:showPercent val="0"/>
          <c:showBubbleSize val="0"/>
        </c:dLbls>
        <c:smooth val="0"/>
        <c:axId val="476552624"/>
        <c:axId val="715826720"/>
      </c:lineChart>
      <c:catAx>
        <c:axId val="4765526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5826720"/>
        <c:crosses val="autoZero"/>
        <c:auto val="1"/>
        <c:lblAlgn val="ctr"/>
        <c:lblOffset val="100"/>
        <c:noMultiLvlLbl val="0"/>
      </c:catAx>
      <c:valAx>
        <c:axId val="715826720"/>
        <c:scaling>
          <c:orientation val="minMax"/>
          <c:max val="15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552624"/>
        <c:crosses val="autoZero"/>
        <c:crossBetween val="between"/>
      </c:valAx>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Energy End</a:t>
            </a:r>
            <a:r>
              <a:rPr lang="en-US" baseline="0"/>
              <a:t> Use Breakdown</a:t>
            </a:r>
            <a:endParaRPr lang="en-US"/>
          </a:p>
        </c:rich>
      </c:tx>
      <c:layout>
        <c:manualLayout>
          <c:xMode val="edge"/>
          <c:yMode val="edge"/>
          <c:x val="0.38858752535228203"/>
          <c:y val="1.72370810864487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0.10626823569000418"/>
          <c:y val="8.4121934697383688E-2"/>
          <c:w val="0.87997018751896894"/>
          <c:h val="0.60624981988466375"/>
        </c:manualLayout>
      </c:layout>
      <c:barChart>
        <c:barDir val="col"/>
        <c:grouping val="stacked"/>
        <c:varyColors val="0"/>
        <c:ser>
          <c:idx val="0"/>
          <c:order val="0"/>
          <c:tx>
            <c:strRef>
              <c:f>'Homes - 2022'!$B$24</c:f>
              <c:strCache>
                <c:ptCount val="1"/>
                <c:pt idx="0">
                  <c:v>Lighting</c:v>
                </c:pt>
              </c:strCache>
            </c:strRef>
          </c:tx>
          <c:spPr>
            <a:solidFill>
              <a:schemeClr val="accent1"/>
            </a:solidFill>
            <a:ln>
              <a:noFill/>
            </a:ln>
            <a:effectLst/>
          </c:spPr>
          <c:invertIfNegative val="0"/>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- 2022'!$C$24:$O$24</c:f>
              <c:numCache>
                <c:formatCode>#,##0.0</c:formatCode>
                <c:ptCount val="12"/>
                <c:pt idx="0">
                  <c:v>2.8661500990950119</c:v>
                </c:pt>
                <c:pt idx="1">
                  <c:v>2.8661500990950119</c:v>
                </c:pt>
                <c:pt idx="2">
                  <c:v>2.8661500990950119</c:v>
                </c:pt>
                <c:pt idx="3">
                  <c:v>2.8661500990950119</c:v>
                </c:pt>
                <c:pt idx="4">
                  <c:v>2.8661500990950119</c:v>
                </c:pt>
                <c:pt idx="5">
                  <c:v>2.8661500990950119</c:v>
                </c:pt>
                <c:pt idx="6">
                  <c:v>2.8661500990950119</c:v>
                </c:pt>
                <c:pt idx="7">
                  <c:v>2.8661500990950119</c:v>
                </c:pt>
                <c:pt idx="8">
                  <c:v>2.8661500990950119</c:v>
                </c:pt>
                <c:pt idx="9">
                  <c:v>2.8661500990950119</c:v>
                </c:pt>
                <c:pt idx="10">
                  <c:v>2.8661500990950119</c:v>
                </c:pt>
                <c:pt idx="11">
                  <c:v>2.8661500990950119</c:v>
                </c:pt>
              </c:numCache>
            </c:numRef>
          </c:val>
          <c:extLst>
            <c:ext xmlns:c16="http://schemas.microsoft.com/office/drawing/2014/chart" uri="{C3380CC4-5D6E-409C-BE32-E72D297353CC}">
              <c16:uniqueId val="{00000000-13B0-4CFB-8FFE-C2B460367664}"/>
            </c:ext>
          </c:extLst>
        </c:ser>
        <c:ser>
          <c:idx val="1"/>
          <c:order val="1"/>
          <c:tx>
            <c:strRef>
              <c:f>'Homes - 2022'!$B$25</c:f>
              <c:strCache>
                <c:ptCount val="1"/>
                <c:pt idx="0">
                  <c:v>Heating</c:v>
                </c:pt>
              </c:strCache>
            </c:strRef>
          </c:tx>
          <c:spPr>
            <a:solidFill>
              <a:schemeClr val="accent2"/>
            </a:solidFill>
            <a:ln>
              <a:noFill/>
            </a:ln>
            <a:effectLst/>
          </c:spPr>
          <c:invertIfNegative val="0"/>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- 2022'!$C$25:$O$25</c:f>
              <c:numCache>
                <c:formatCode>#,##0.0</c:formatCode>
                <c:ptCount val="12"/>
                <c:pt idx="0">
                  <c:v>88.115188996871936</c:v>
                </c:pt>
                <c:pt idx="1">
                  <c:v>68.923565510160216</c:v>
                </c:pt>
                <c:pt idx="2">
                  <c:v>52.937391055182786</c:v>
                </c:pt>
                <c:pt idx="3">
                  <c:v>69.606389837388662</c:v>
                </c:pt>
                <c:pt idx="4">
                  <c:v>60.881324768977294</c:v>
                </c:pt>
                <c:pt idx="5">
                  <c:v>52.937391055182786</c:v>
                </c:pt>
                <c:pt idx="6">
                  <c:v>18.700768881778455</c:v>
                </c:pt>
                <c:pt idx="7">
                  <c:v>14.143377349029345</c:v>
                </c:pt>
                <c:pt idx="8">
                  <c:v>10.524905083693499</c:v>
                </c:pt>
                <c:pt idx="9">
                  <c:v>14.535507056042407</c:v>
                </c:pt>
                <c:pt idx="10">
                  <c:v>12.382757467943359</c:v>
                </c:pt>
                <c:pt idx="11">
                  <c:v>10.524905083693499</c:v>
                </c:pt>
              </c:numCache>
            </c:numRef>
          </c:val>
          <c:extLst>
            <c:ext xmlns:c16="http://schemas.microsoft.com/office/drawing/2014/chart" uri="{C3380CC4-5D6E-409C-BE32-E72D297353CC}">
              <c16:uniqueId val="{00000001-13B0-4CFB-8FFE-C2B460367664}"/>
            </c:ext>
          </c:extLst>
        </c:ser>
        <c:ser>
          <c:idx val="2"/>
          <c:order val="2"/>
          <c:tx>
            <c:strRef>
              <c:f>'Homes - 2022'!$B$26</c:f>
              <c:strCache>
                <c:ptCount val="1"/>
                <c:pt idx="0">
                  <c:v>Cooling</c:v>
                </c:pt>
              </c:strCache>
            </c:strRef>
          </c:tx>
          <c:spPr>
            <a:solidFill>
              <a:schemeClr val="accent3"/>
            </a:solidFill>
            <a:ln>
              <a:noFill/>
            </a:ln>
            <a:effectLst/>
          </c:spPr>
          <c:invertIfNegative val="0"/>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- 2022'!$C$26:$O$26</c:f>
              <c:numCache>
                <c:formatCode>#,##0.0</c:formatCode>
                <c:ptCount val="12"/>
                <c:pt idx="0">
                  <c:v>9.9073521335275441</c:v>
                </c:pt>
                <c:pt idx="1">
                  <c:v>6.3249600038205305</c:v>
                </c:pt>
                <c:pt idx="2">
                  <c:v>5.0143866854509413</c:v>
                </c:pt>
                <c:pt idx="3">
                  <c:v>9.0507414217149407</c:v>
                </c:pt>
                <c:pt idx="4">
                  <c:v>6.1511019842880676</c:v>
                </c:pt>
                <c:pt idx="5">
                  <c:v>5.0143866854509413</c:v>
                </c:pt>
                <c:pt idx="6">
                  <c:v>4.5395663697796031</c:v>
                </c:pt>
                <c:pt idx="7">
                  <c:v>2.7950404737457917</c:v>
                </c:pt>
                <c:pt idx="8">
                  <c:v>2.3539482795673248</c:v>
                </c:pt>
                <c:pt idx="9">
                  <c:v>4.81643544497242</c:v>
                </c:pt>
                <c:pt idx="10">
                  <c:v>2.7850235201413591</c:v>
                </c:pt>
                <c:pt idx="11">
                  <c:v>2.3539482795673248</c:v>
                </c:pt>
              </c:numCache>
            </c:numRef>
          </c:val>
          <c:extLst>
            <c:ext xmlns:c16="http://schemas.microsoft.com/office/drawing/2014/chart" uri="{C3380CC4-5D6E-409C-BE32-E72D297353CC}">
              <c16:uniqueId val="{00000002-13B0-4CFB-8FFE-C2B460367664}"/>
            </c:ext>
          </c:extLst>
        </c:ser>
        <c:ser>
          <c:idx val="3"/>
          <c:order val="3"/>
          <c:tx>
            <c:strRef>
              <c:f>'Homes - 2022'!$B$27</c:f>
              <c:strCache>
                <c:ptCount val="1"/>
                <c:pt idx="0">
                  <c:v>Pumps</c:v>
                </c:pt>
              </c:strCache>
            </c:strRef>
          </c:tx>
          <c:spPr>
            <a:solidFill>
              <a:schemeClr val="accent4"/>
            </a:solidFill>
            <a:ln>
              <a:noFill/>
            </a:ln>
            <a:effectLst/>
          </c:spPr>
          <c:invertIfNegative val="0"/>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- 2022'!$C$27:$O$27</c:f>
              <c:numCache>
                <c:formatCode>#,##0.0</c:formatCode>
                <c:ptCount val="12"/>
                <c:pt idx="0">
                  <c:v>1.1222808567539816E-3</c:v>
                </c:pt>
                <c:pt idx="1">
                  <c:v>9.3125432794479335E-4</c:v>
                </c:pt>
                <c:pt idx="2">
                  <c:v>8.2380190548962478E-4</c:v>
                </c:pt>
                <c:pt idx="3">
                  <c:v>1.1222808567539816E-3</c:v>
                </c:pt>
                <c:pt idx="4">
                  <c:v>9.3125432794479335E-4</c:v>
                </c:pt>
                <c:pt idx="5">
                  <c:v>8.2380190548962478E-4</c:v>
                </c:pt>
                <c:pt idx="6">
                  <c:v>0.34387163017264016</c:v>
                </c:pt>
                <c:pt idx="7">
                  <c:v>0.2645717424007259</c:v>
                </c:pt>
                <c:pt idx="8">
                  <c:v>0.21075001790873707</c:v>
                </c:pt>
                <c:pt idx="9">
                  <c:v>0.30066381718761193</c:v>
                </c:pt>
                <c:pt idx="10">
                  <c:v>0.24201867284319109</c:v>
                </c:pt>
                <c:pt idx="11">
                  <c:v>0.21075001790873707</c:v>
                </c:pt>
              </c:numCache>
            </c:numRef>
          </c:val>
          <c:extLst>
            <c:ext xmlns:c16="http://schemas.microsoft.com/office/drawing/2014/chart" uri="{C3380CC4-5D6E-409C-BE32-E72D297353CC}">
              <c16:uniqueId val="{00000003-13B0-4CFB-8FFE-C2B460367664}"/>
            </c:ext>
          </c:extLst>
        </c:ser>
        <c:ser>
          <c:idx val="4"/>
          <c:order val="4"/>
          <c:tx>
            <c:strRef>
              <c:f>'Homes - 2022'!$B$28</c:f>
              <c:strCache>
                <c:ptCount val="1"/>
                <c:pt idx="0">
                  <c:v>Fans</c:v>
                </c:pt>
              </c:strCache>
            </c:strRef>
          </c:tx>
          <c:spPr>
            <a:solidFill>
              <a:schemeClr val="accent5"/>
            </a:solidFill>
            <a:ln>
              <a:noFill/>
            </a:ln>
            <a:effectLst/>
          </c:spPr>
          <c:invertIfNegative val="0"/>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- 2022'!$C$28:$O$28</c:f>
              <c:numCache>
                <c:formatCode>#,##0.0</c:formatCode>
                <c:ptCount val="12"/>
                <c:pt idx="0">
                  <c:v>8.9136321306621458</c:v>
                </c:pt>
                <c:pt idx="1">
                  <c:v>6.975823204947587</c:v>
                </c:pt>
                <c:pt idx="2">
                  <c:v>4.9633826022588883</c:v>
                </c:pt>
                <c:pt idx="3">
                  <c:v>7.1969602903603231</c:v>
                </c:pt>
                <c:pt idx="4">
                  <c:v>6.2174837030492611</c:v>
                </c:pt>
                <c:pt idx="5">
                  <c:v>4.9633826022588883</c:v>
                </c:pt>
                <c:pt idx="6">
                  <c:v>2.9604097519042956</c:v>
                </c:pt>
                <c:pt idx="7">
                  <c:v>2.5669428591895698</c:v>
                </c:pt>
                <c:pt idx="8">
                  <c:v>1.5617015688053677</c:v>
                </c:pt>
                <c:pt idx="9">
                  <c:v>2.0937940256453116</c:v>
                </c:pt>
                <c:pt idx="10">
                  <c:v>2.1052197998997109</c:v>
                </c:pt>
                <c:pt idx="11">
                  <c:v>1.5617015688053677</c:v>
                </c:pt>
              </c:numCache>
            </c:numRef>
          </c:val>
          <c:extLst>
            <c:ext xmlns:c16="http://schemas.microsoft.com/office/drawing/2014/chart" uri="{C3380CC4-5D6E-409C-BE32-E72D297353CC}">
              <c16:uniqueId val="{00000004-13B0-4CFB-8FFE-C2B460367664}"/>
            </c:ext>
          </c:extLst>
        </c:ser>
        <c:ser>
          <c:idx val="5"/>
          <c:order val="5"/>
          <c:tx>
            <c:strRef>
              <c:f>'Homes - 2022'!$B$29</c:f>
              <c:strCache>
                <c:ptCount val="1"/>
                <c:pt idx="0">
                  <c:v>Receptacles</c:v>
                </c:pt>
              </c:strCache>
            </c:strRef>
          </c:tx>
          <c:spPr>
            <a:solidFill>
              <a:schemeClr val="accent6"/>
            </a:solidFill>
            <a:ln>
              <a:noFill/>
            </a:ln>
            <a:effectLst/>
          </c:spPr>
          <c:invertIfNegative val="0"/>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- 2022'!$C$29:$O$29</c:f>
              <c:numCache>
                <c:formatCode>#,##0.0</c:formatCode>
                <c:ptCount val="12"/>
                <c:pt idx="0">
                  <c:v>10.878924998209127</c:v>
                </c:pt>
                <c:pt idx="1">
                  <c:v>9.6701568805367835</c:v>
                </c:pt>
                <c:pt idx="2">
                  <c:v>8.4613887628644431</c:v>
                </c:pt>
                <c:pt idx="3">
                  <c:v>10.878924998209127</c:v>
                </c:pt>
                <c:pt idx="4">
                  <c:v>9.6701568805367835</c:v>
                </c:pt>
                <c:pt idx="5">
                  <c:v>8.4613887628644431</c:v>
                </c:pt>
                <c:pt idx="6">
                  <c:v>10.878924998209127</c:v>
                </c:pt>
                <c:pt idx="7">
                  <c:v>9.6701568805367835</c:v>
                </c:pt>
                <c:pt idx="8">
                  <c:v>8.4613887628644431</c:v>
                </c:pt>
                <c:pt idx="9">
                  <c:v>10.878924998209127</c:v>
                </c:pt>
                <c:pt idx="10">
                  <c:v>9.6701568805367835</c:v>
                </c:pt>
                <c:pt idx="11">
                  <c:v>8.4613887628644431</c:v>
                </c:pt>
              </c:numCache>
            </c:numRef>
          </c:val>
          <c:extLst>
            <c:ext xmlns:c16="http://schemas.microsoft.com/office/drawing/2014/chart" uri="{C3380CC4-5D6E-409C-BE32-E72D297353CC}">
              <c16:uniqueId val="{00000005-13B0-4CFB-8FFE-C2B460367664}"/>
            </c:ext>
          </c:extLst>
        </c:ser>
        <c:ser>
          <c:idx val="6"/>
          <c:order val="6"/>
          <c:tx>
            <c:strRef>
              <c:f>'Homes - 2022'!$B$30</c:f>
              <c:strCache>
                <c:ptCount val="1"/>
                <c:pt idx="0">
                  <c:v>DHW</c:v>
                </c:pt>
              </c:strCache>
            </c:strRef>
          </c:tx>
          <c:spPr>
            <a:solidFill>
              <a:schemeClr val="accent1">
                <a:lumMod val="60000"/>
              </a:schemeClr>
            </a:solidFill>
            <a:ln>
              <a:noFill/>
            </a:ln>
            <a:effectLst/>
          </c:spPr>
          <c:invertIfNegative val="0"/>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- 2022'!$C$30:$O$30</c:f>
              <c:numCache>
                <c:formatCode>#,##0.0</c:formatCode>
                <c:ptCount val="12"/>
                <c:pt idx="0">
                  <c:v>9.4609231357004688</c:v>
                </c:pt>
                <c:pt idx="1">
                  <c:v>7.8836648439552039</c:v>
                </c:pt>
                <c:pt idx="2">
                  <c:v>6.9372239069700798</c:v>
                </c:pt>
                <c:pt idx="3">
                  <c:v>9.4599918813725257</c:v>
                </c:pt>
                <c:pt idx="4">
                  <c:v>7.8833305475297877</c:v>
                </c:pt>
                <c:pt idx="5">
                  <c:v>6.9372239069700798</c:v>
                </c:pt>
                <c:pt idx="6">
                  <c:v>9.4638840468970127</c:v>
                </c:pt>
                <c:pt idx="7">
                  <c:v>7.8839394445903679</c:v>
                </c:pt>
                <c:pt idx="8">
                  <c:v>6.9377253516082042</c:v>
                </c:pt>
                <c:pt idx="9">
                  <c:v>9.472826476276893</c:v>
                </c:pt>
                <c:pt idx="10">
                  <c:v>7.8839991403806193</c:v>
                </c:pt>
                <c:pt idx="11">
                  <c:v>6.9377253516082042</c:v>
                </c:pt>
              </c:numCache>
            </c:numRef>
          </c:val>
          <c:extLst>
            <c:ext xmlns:c16="http://schemas.microsoft.com/office/drawing/2014/chart" uri="{C3380CC4-5D6E-409C-BE32-E72D297353CC}">
              <c16:uniqueId val="{00000006-13B0-4CFB-8FFE-C2B460367664}"/>
            </c:ext>
          </c:extLst>
        </c:ser>
        <c:ser>
          <c:idx val="8"/>
          <c:order val="8"/>
          <c:tx>
            <c:strRef>
              <c:f>'Homes - 2022'!$C$32:$C$33</c:f>
              <c:strCache>
                <c:ptCount val="1"/>
                <c:pt idx="0">
                  <c:v>Savings:</c:v>
                </c:pt>
              </c:strCache>
            </c:strRef>
          </c:tx>
          <c:spPr>
            <a:pattFill prst="ltUpDiag">
              <a:fgClr>
                <a:srgbClr val="92D050"/>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B0F9-4534-A459-131BD694B4CE}"/>
                </c:ext>
              </c:extLst>
            </c:dLbl>
            <c:dLbl>
              <c:idx val="1"/>
              <c:tx>
                <c:rich>
                  <a:bodyPr/>
                  <a:lstStyle/>
                  <a:p>
                    <a:r>
                      <a:rPr lang="en-US"/>
                      <a:t>Savings: </a:t>
                    </a:r>
                  </a:p>
                  <a:p>
                    <a:fld id="{A89DFA2B-01A6-4527-922C-B06717877151}"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{A89DFA2B-01A6-4527-922C-B06717877151}</c15:txfldGUID>
                      <c15:f>'Homes - 2022'!$D$33</c15:f>
                      <c15:dlblFieldTableCache>
                        <c:ptCount val="1"/>
                        <c:pt idx="0">
                          <c:v>21.1%</c:v>
                        </c:pt>
                      </c15:dlblFieldTableCache>
                    </c15:dlblFTEntry>
                  </c15:dlblFieldTable>
                  <c15:showDataLabelsRange val="0"/>
                </c:ext>
                <c:ext xmlns:c16="http://schemas.microsoft.com/office/drawing/2014/chart" uri="{C3380CC4-5D6E-409C-BE32-E72D297353CC}">
                  <c16:uniqueId val="{00000008-B0F9-4534-A459-131BD694B4CE}"/>
                </c:ext>
              </c:extLst>
            </c:dLbl>
            <c:dLbl>
              <c:idx val="2"/>
              <c:tx>
                <c:rich>
                  <a:bodyPr/>
                  <a:lstStyle/>
                  <a:p>
                    <a:fld id="{E2F33FE6-3DFC-4C12-8BE8-3D28C611A001}"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{E2F33FE6-3DFC-4C12-8BE8-3D28C611A001}</c15:txfldGUID>
                      <c15:f>'Homes - 2022'!$E$33</c15:f>
                      <c15:dlblFieldTableCache>
                        <c:ptCount val="1"/>
                        <c:pt idx="0">
                          <c:v>37.6%</c:v>
                        </c:pt>
                      </c15:dlblFieldTableCache>
                    </c15:dlblFTEntry>
                  </c15:dlblFieldTable>
                  <c15:showDataLabelsRange val="0"/>
                </c:ext>
                <c:ext xmlns:c16="http://schemas.microsoft.com/office/drawing/2014/chart" uri="{C3380CC4-5D6E-409C-BE32-E72D297353CC}">
                  <c16:uniqueId val="{0000000A-B0F9-4534-A459-131BD694B4CE}"/>
                </c:ext>
              </c:extLst>
            </c:dLbl>
            <c:dLbl>
              <c:idx val="3"/>
              <c:tx>
                <c:rich>
                  <a:bodyPr/>
                  <a:lstStyle/>
                  <a:p>
                    <a:fld id="{8CDE5E81-5270-4989-852F-95E88089B158}"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{8CDE5E81-5270-4989-852F-95E88089B158}</c15:txfldGUID>
                      <c15:f>'Homes - 2022'!$F$33</c15:f>
                      <c15:dlblFieldTableCache>
                        <c:ptCount val="1"/>
                        <c:pt idx="0">
                          <c:v>30.6%</c:v>
                        </c:pt>
                      </c15:dlblFieldTableCache>
                    </c15:dlblFTEntry>
                  </c15:dlblFieldTable>
                  <c15:showDataLabelsRange val="0"/>
                </c:ext>
                <c:ext xmlns:c16="http://schemas.microsoft.com/office/drawing/2014/chart" uri="{C3380CC4-5D6E-409C-BE32-E72D297353CC}">
                  <c16:uniqueId val="{0000000B-B0F9-4534-A459-131BD694B4CE}"/>
                </c:ext>
              </c:extLst>
            </c:dLbl>
            <c:dLbl>
              <c:idx val="4"/>
              <c:tx>
                <c:rich>
                  <a:bodyPr/>
                  <a:lstStyle/>
                  <a:p>
                    <a:fld id="{9A93C33C-0D5F-4B4B-B1A0-B5DCD0A4EAA3}"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{9A93C33C-0D5F-4B4B-B1A0-B5DCD0A4EAA3}</c15:txfldGUID>
                      <c15:f>'Homes - 2022'!$H$33</c15:f>
                      <c15:dlblFieldTableCache>
                        <c:ptCount val="1"/>
                        <c:pt idx="0">
                          <c:v>28.0%</c:v>
                        </c:pt>
                      </c15:dlblFieldTableCache>
                    </c15:dlblFTEntry>
                  </c15:dlblFieldTable>
                  <c15:showDataLabelsRange val="0"/>
                </c:ext>
                <c:ext xmlns:c16="http://schemas.microsoft.com/office/drawing/2014/chart" uri="{C3380CC4-5D6E-409C-BE32-E72D297353CC}">
                  <c16:uniqueId val="{0000000C-B0F9-4534-A459-131BD694B4CE}"/>
                </c:ext>
              </c:extLst>
            </c:dLbl>
            <c:dLbl>
              <c:idx val="5"/>
              <c:tx>
                <c:rich>
                  <a:bodyPr/>
                  <a:lstStyle/>
                  <a:p>
                    <a:fld id="{AB766616-3887-47F5-9A6D-3E86B8C3C2C3}"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{AB766616-3887-47F5-9A6D-3E86B8C3C2C3}</c15:txfldGUID>
                      <c15:f>'Homes - 2022'!$I$33</c15:f>
                      <c15:dlblFieldTableCache>
                        <c:ptCount val="1"/>
                        <c:pt idx="0">
                          <c:v>37.6%</c:v>
                        </c:pt>
                      </c15:dlblFieldTableCache>
                    </c15:dlblFTEntry>
                  </c15:dlblFieldTable>
                  <c15:showDataLabelsRange val="0"/>
                </c:ext>
                <c:ext xmlns:c16="http://schemas.microsoft.com/office/drawing/2014/chart" uri="{C3380CC4-5D6E-409C-BE32-E72D297353CC}">
                  <c16:uniqueId val="{0000000D-B0F9-4534-A459-131BD694B4CE}"/>
                </c:ext>
              </c:extLst>
            </c:dLbl>
            <c:dLbl>
              <c:idx val="6"/>
              <c:tx>
                <c:rich>
                  <a:bodyPr/>
                  <a:lstStyle/>
                  <a:p>
                    <a:fld id="{E68FA4E4-1536-4A0A-B39A-4D0E1B01A087}"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{E68FA4E4-1536-4A0A-B39A-4D0E1B01A087}</c15:txfldGUID>
                      <c15:f>'Homes - 2022'!$J$33</c15:f>
                      <c15:dlblFieldTableCache>
                        <c:ptCount val="1"/>
                        <c:pt idx="0">
                          <c:v>61.8%</c:v>
                        </c:pt>
                      </c15:dlblFieldTableCache>
                    </c15:dlblFTEntry>
                  </c15:dlblFieldTable>
                  <c15:showDataLabelsRange val="0"/>
                </c:ext>
                <c:ext xmlns:c16="http://schemas.microsoft.com/office/drawing/2014/chart" uri="{C3380CC4-5D6E-409C-BE32-E72D297353CC}">
                  <c16:uniqueId val="{0000000E-B0F9-4534-A459-131BD694B4CE}"/>
                </c:ext>
              </c:extLst>
            </c:dLbl>
            <c:dLbl>
              <c:idx val="7"/>
              <c:tx>
                <c:rich>
                  <a:bodyPr/>
                  <a:lstStyle/>
                  <a:p>
                    <a:fld id="{9F560FC2-3F34-47F3-9EFA-DEF5901E9857}"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{9F560FC2-3F34-47F3-9EFA-DEF5901E9857}</c15:txfldGUID>
                      <c15:f>'Homes - 2022'!$K$33</c15:f>
                      <c15:dlblFieldTableCache>
                        <c:ptCount val="1"/>
                        <c:pt idx="0">
                          <c:v>69.1%</c:v>
                        </c:pt>
                      </c15:dlblFieldTableCache>
                    </c15:dlblFTEntry>
                  </c15:dlblFieldTable>
                  <c15:showDataLabelsRange val="0"/>
                </c:ext>
                <c:ext xmlns:c16="http://schemas.microsoft.com/office/drawing/2014/chart" uri="{C3380CC4-5D6E-409C-BE32-E72D297353CC}">
                  <c16:uniqueId val="{0000000F-B0F9-4534-A459-131BD694B4CE}"/>
                </c:ext>
              </c:extLst>
            </c:dLbl>
            <c:dLbl>
              <c:idx val="8"/>
              <c:tx>
                <c:rich>
                  <a:bodyPr/>
                  <a:lstStyle/>
                  <a:p>
                    <a:fld id="{A3E8C0EE-10BB-4359-9EF1-551F6FEF2682}"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{A3E8C0EE-10BB-4359-9EF1-551F6FEF2682}</c15:txfldGUID>
                      <c15:f>'Homes - 2022'!$L$33</c15:f>
                      <c15:dlblFieldTableCache>
                        <c:ptCount val="1"/>
                        <c:pt idx="0">
                          <c:v>74.7%</c:v>
                        </c:pt>
                      </c15:dlblFieldTableCache>
                    </c15:dlblFTEntry>
                  </c15:dlblFieldTable>
                  <c15:showDataLabelsRange val="0"/>
                </c:ext>
                <c:ext xmlns:c16="http://schemas.microsoft.com/office/drawing/2014/chart" uri="{C3380CC4-5D6E-409C-BE32-E72D297353CC}">
                  <c16:uniqueId val="{00000010-B0F9-4534-A459-131BD694B4CE}"/>
                </c:ext>
              </c:extLst>
            </c:dLbl>
            <c:dLbl>
              <c:idx val="9"/>
              <c:tx>
                <c:rich>
                  <a:bodyPr/>
                  <a:lstStyle/>
                  <a:p>
                    <a:fld id="{1750F49A-7E97-4502-95CB-4706EC2A5BD5}"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{1750F49A-7E97-4502-95CB-4706EC2A5BD5}</c15:txfldGUID>
                      <c15:f>'Homes - 2022'!$M$33</c15:f>
                      <c15:dlblFieldTableCache>
                        <c:ptCount val="1"/>
                        <c:pt idx="0">
                          <c:v>65.5%</c:v>
                        </c:pt>
                      </c15:dlblFieldTableCache>
                    </c15:dlblFTEntry>
                  </c15:dlblFieldTable>
                  <c15:showDataLabelsRange val="0"/>
                </c:ext>
                <c:ext xmlns:c16="http://schemas.microsoft.com/office/drawing/2014/chart" uri="{C3380CC4-5D6E-409C-BE32-E72D297353CC}">
                  <c16:uniqueId val="{00000011-B0F9-4534-A459-131BD694B4CE}"/>
                </c:ext>
              </c:extLst>
            </c:dLbl>
            <c:dLbl>
              <c:idx val="10"/>
              <c:tx>
                <c:rich>
                  <a:bodyPr/>
                  <a:lstStyle/>
                  <a:p>
                    <a:fld id="{FB783ED0-B82E-42FF-996C-8AEDA9BAC358}"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{FB783ED0-B82E-42FF-996C-8AEDA9BAC358}</c15:txfldGUID>
                      <c15:f>'Homes - 2022'!$N$33</c15:f>
                      <c15:dlblFieldTableCache>
                        <c:ptCount val="1"/>
                        <c:pt idx="0">
                          <c:v>70.9%</c:v>
                        </c:pt>
                      </c15:dlblFieldTableCache>
                    </c15:dlblFTEntry>
                  </c15:dlblFieldTable>
                  <c15:showDataLabelsRange val="0"/>
                </c:ext>
                <c:ext xmlns:c16="http://schemas.microsoft.com/office/drawing/2014/chart" uri="{C3380CC4-5D6E-409C-BE32-E72D297353CC}">
                  <c16:uniqueId val="{00000012-B0F9-4534-A459-131BD694B4CE}"/>
                </c:ext>
              </c:extLst>
            </c:dLbl>
            <c:dLbl>
              <c:idx val="11"/>
              <c:tx>
                <c:rich>
                  <a:bodyPr/>
                  <a:lstStyle/>
                  <a:p>
                    <a:fld id="{C77912C2-12E9-4262-88C5-DDA9C207A036}"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{C77912C2-12E9-4262-88C5-DDA9C207A036}</c15:txfldGUID>
                      <c15:f>'Homes - 2022'!$O$33</c15:f>
                      <c15:dlblFieldTableCache>
                        <c:ptCount val="1"/>
                        <c:pt idx="0">
                          <c:v>74.7%</c:v>
                        </c:pt>
                      </c15:dlblFieldTableCache>
                    </c15:dlblFTEntry>
                  </c15:dlblFieldTable>
                  <c15:showDataLabelsRange val="0"/>
                </c:ext>
                <c:ext xmlns:c16="http://schemas.microsoft.com/office/drawing/2014/chart" uri="{C3380CC4-5D6E-409C-BE32-E72D297353CC}">
                  <c16:uniqueId val="{00000013-B0F9-4534-A459-131BD694B4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- 2022'!$C$32:$O$32</c:f>
              <c:numCache>
                <c:formatCode>#,##0.0</c:formatCode>
                <c:ptCount val="12"/>
                <c:pt idx="0" formatCode="General">
                  <c:v>0</c:v>
                </c:pt>
                <c:pt idx="1">
                  <c:v>27.498041978079712</c:v>
                </c:pt>
                <c:pt idx="2">
                  <c:v>48.962546861195364</c:v>
                </c:pt>
                <c:pt idx="3">
                  <c:v>21.083012965925661</c:v>
                </c:pt>
                <c:pt idx="4">
                  <c:v>36.472814537118865</c:v>
                </c:pt>
                <c:pt idx="5">
                  <c:v>48.962546861195364</c:v>
                </c:pt>
                <c:pt idx="6">
                  <c:v>80.389717997086848</c:v>
                </c:pt>
                <c:pt idx="7">
                  <c:v>89.953114926335388</c:v>
                </c:pt>
                <c:pt idx="8">
                  <c:v>97.226724611380405</c:v>
                </c:pt>
                <c:pt idx="9">
                  <c:v>85.178991857494211</c:v>
                </c:pt>
                <c:pt idx="10">
                  <c:v>92.207968194082952</c:v>
                </c:pt>
                <c:pt idx="11">
                  <c:v>97.226724611380405</c:v>
                </c:pt>
              </c:numCache>
            </c:numRef>
          </c:val>
          <c:extLst>
            <c:ext xmlns:c16="http://schemas.microsoft.com/office/drawing/2014/chart" uri="{C3380CC4-5D6E-409C-BE32-E72D297353CC}">
              <c16:uniqueId val="{00000003-B0F9-4534-A459-131BD694B4CE}"/>
            </c:ext>
          </c:extLst>
        </c:ser>
        <c:dLbls>
          <c:showLegendKey val="0"/>
          <c:showVal val="0"/>
          <c:showCatName val="0"/>
          <c:showSerName val="0"/>
          <c:showPercent val="0"/>
          <c:showBubbleSize val="0"/>
        </c:dLbls>
        <c:gapWidth val="150"/>
        <c:overlap val="100"/>
        <c:axId val="1219553984"/>
        <c:axId val="1219555952"/>
        <c:extLst>
          <c:ext xmlns:c15="http://schemas.microsoft.com/office/drawing/2012/chart" uri="{02D57815-91ED-43cb-92C2-25804820EDAC}">
            <c15:filteredBarSeries>
              <c15:ser>
                <c:idx val="7"/>
                <c:order val="7"/>
                <c:tx>
                  <c:strRef>
                    <c:extLst>
                      <c:ext uri="{02D57815-91ED-43cb-92C2-25804820EDAC}">
                        <c15:formulaRef>
                          <c15:sqref>'Homes - 2022'!$B$31</c15:sqref>
                        </c15:formulaRef>
                      </c:ext>
                    </c:extLst>
                    <c:strCache>
                      <c:ptCount val="1"/>
                      <c:pt idx="0">
                        <c:v>EUI</c:v>
                      </c:pt>
                    </c:strCache>
                  </c:strRef>
                </c:tx>
                <c:spPr>
                  <a:pattFill prst="ltUpDiag">
                    <a:fgClr>
                      <a:schemeClr val="accent3"/>
                    </a:fgClr>
                    <a:bgClr>
                      <a:schemeClr val="bg1"/>
                    </a:bgClr>
                  </a:pattFill>
                  <a:ln>
                    <a:noFill/>
                  </a:ln>
                  <a:effectLst/>
                </c:spPr>
                <c:invertIfNegative val="0"/>
                <c:dLbls>
                  <c:dLbl>
                    <c:idx val="0"/>
                    <c:tx>
                      <c:rich>
                        <a:bodyPr/>
                        <a:lstStyle/>
                        <a:p>
                          <a:fld id="{DC0F588B-8A7F-41FB-B0D7-B0731E260C20}"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7-13B0-4CFB-8FFE-C2B460367664}"/>
                      </c:ext>
                    </c:extLst>
                  </c:dLbl>
                  <c:dLbl>
                    <c:idx val="1"/>
                    <c:tx>
                      <c:rich>
                        <a:bodyPr/>
                        <a:lstStyle/>
                        <a:p>
                          <a:fld id="{1A8DC31A-C96C-4B6F-BE2D-5F7DA8A1EB01}"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8-13B0-4CFB-8FFE-C2B460367664}"/>
                      </c:ext>
                    </c:extLst>
                  </c:dLbl>
                  <c:dLbl>
                    <c:idx val="2"/>
                    <c:tx>
                      <c:rich>
                        <a:bodyPr/>
                        <a:lstStyle/>
                        <a:p>
                          <a:fld id="{F28A0B53-3140-45AB-B343-EE7B6DA6DA74}"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9-13B0-4CFB-8FFE-C2B460367664}"/>
                      </c:ext>
                    </c:extLst>
                  </c:dLbl>
                  <c:dLbl>
                    <c:idx val="3"/>
                    <c:tx>
                      <c:rich>
                        <a:bodyPr/>
                        <a:lstStyle/>
                        <a:p>
                          <a:fld id="{C35D1E03-3F12-43E6-8107-137F91B8F99F}"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0-B0F9-4534-A459-131BD694B4CE}"/>
                      </c:ext>
                    </c:extLst>
                  </c:dLbl>
                  <c:dLbl>
                    <c:idx val="4"/>
                    <c:tx>
                      <c:rich>
                        <a:bodyPr/>
                        <a:lstStyle/>
                        <a:p>
                          <a:fld id="{09878338-A6E5-4666-BAA8-9AE360B67CDA}"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0-CF91-490C-92DE-30A7393BEED4}"/>
                      </c:ext>
                    </c:extLst>
                  </c:dLbl>
                  <c:dLbl>
                    <c:idx val="5"/>
                    <c:tx>
                      <c:rich>
                        <a:bodyPr/>
                        <a:lstStyle/>
                        <a:p>
                          <a:fld id="{A6E89B9F-D411-4C5E-AE65-16F46C4956F5}"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1-CF91-490C-92DE-30A7393BEED4}"/>
                      </c:ext>
                    </c:extLst>
                  </c:dLbl>
                  <c:dLbl>
                    <c:idx val="6"/>
                    <c:tx>
                      <c:rich>
                        <a:bodyPr/>
                        <a:lstStyle/>
                        <a:p>
                          <a:fld id="{4949D47C-40B8-423C-8061-FA3FBB3C1E40}"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2-CF91-490C-92DE-30A7393BEED4}"/>
                      </c:ext>
                    </c:extLst>
                  </c:dLbl>
                  <c:dLbl>
                    <c:idx val="7"/>
                    <c:tx>
                      <c:rich>
                        <a:bodyPr/>
                        <a:lstStyle/>
                        <a:p>
                          <a:fld id="{274DF9D8-ADB5-4223-BE49-CE96546C53BC}"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1-B0F9-4534-A459-131BD694B4CE}"/>
                      </c:ext>
                    </c:extLst>
                  </c:dLbl>
                  <c:dLbl>
                    <c:idx val="8"/>
                    <c:tx>
                      <c:rich>
                        <a:bodyPr/>
                        <a:lstStyle/>
                        <a:p>
                          <a:fld id="{A4EF18A3-D222-42C3-9C33-2893D020C86D}"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2-B0F9-4534-A459-131BD694B4CE}"/>
                      </c:ext>
                    </c:extLst>
                  </c:dLbl>
                  <c:dLbl>
                    <c:idx val="9"/>
                    <c:tx>
                      <c:rich>
                        <a:bodyPr/>
                        <a:lstStyle/>
                        <a:p>
                          <a:endParaRPr lang="en-US"/>
                        </a:p>
                      </c:rich>
                    </c:tx>
                    <c:dLblPos val="ctr"/>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05-B0F9-4534-A459-131BD694B4CE}"/>
                      </c:ext>
                    </c:extLst>
                  </c:dLbl>
                  <c:dLbl>
                    <c:idx val="10"/>
                    <c:tx>
                      <c:rich>
                        <a:bodyPr/>
                        <a:lstStyle/>
                        <a:p>
                          <a:endParaRPr lang="en-US"/>
                        </a:p>
                      </c:rich>
                    </c:tx>
                    <c:dLblPos val="ctr"/>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06-B0F9-4534-A459-131BD694B4CE}"/>
                      </c:ext>
                    </c:extLst>
                  </c:dLbl>
                  <c:dLbl>
                    <c:idx val="11"/>
                    <c:tx>
                      <c:rich>
                        <a:bodyPr/>
                        <a:lstStyle/>
                        <a:p>
                          <a:endParaRPr lang="en-US"/>
                        </a:p>
                      </c:rich>
                    </c:tx>
                    <c:dLblPos val="ctr"/>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07-B0F9-4534-A459-131BD694B4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ct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'Homes - 2022'!$C$23:$O$23</c15:sqref>
                        </c15:formulaRef>
                      </c:ext>
                    </c:extLst>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extLst>
                      <c:ext uri="{02D57815-91ED-43cb-92C2-25804820EDAC}">
                        <c15:formulaRef>
                          <c15:sqref>'Homes - 2022'!$C$31:$O$31</c15:sqref>
                        </c15:formulaRef>
                      </c:ext>
                    </c:extLst>
                    <c:numCache>
                      <c:formatCode>#,##0.0</c:formatCode>
                      <c:ptCount val="12"/>
                      <c:pt idx="0">
                        <c:v>130.14329377492299</c:v>
                      </c:pt>
                      <c:pt idx="1">
                        <c:v>102.64525179684328</c:v>
                      </c:pt>
                      <c:pt idx="2">
                        <c:v>81.180746913727631</c:v>
                      </c:pt>
                      <c:pt idx="3">
                        <c:v>109.06028080899733</c:v>
                      </c:pt>
                      <c:pt idx="4">
                        <c:v>93.67047923780413</c:v>
                      </c:pt>
                      <c:pt idx="5">
                        <c:v>81.180746913727631</c:v>
                      </c:pt>
                      <c:pt idx="6">
                        <c:v>49.753575777836154</c:v>
                      </c:pt>
                      <c:pt idx="7">
                        <c:v>40.1901788485876</c:v>
                      </c:pt>
                      <c:pt idx="8">
                        <c:v>32.916569163542583</c:v>
                      </c:pt>
                      <c:pt idx="9">
                        <c:v>44.964301917428784</c:v>
                      </c:pt>
                      <c:pt idx="10">
                        <c:v>37.935325580840043</c:v>
                      </c:pt>
                      <c:pt idx="11">
                        <c:v>32.916569163542583</c:v>
                      </c:pt>
                    </c:numCache>
                  </c:numRef>
                </c:val>
                <c:extLst>
                  <c:ext uri="{02D57815-91ED-43cb-92C2-25804820EDAC}">
                    <c15:datalabelsRange>
                      <c15:f>'DB-End Use'!$C$16:$N$16</c15:f>
                      <c15:dlblRangeCache>
                        <c:ptCount val="9"/>
                        <c:pt idx="1">
                          <c:v>Energy Savings: 21%</c:v>
                        </c:pt>
                        <c:pt idx="2">
                          <c:v>Energy Savings: 38%</c:v>
                        </c:pt>
                        <c:pt idx="3">
                          <c:v>Energy Savings: 31%</c:v>
                        </c:pt>
                        <c:pt idx="4">
                          <c:v>Energy Savings: 16%</c:v>
                        </c:pt>
                        <c:pt idx="5">
                          <c:v>Energy Savings: 28%</c:v>
                        </c:pt>
                        <c:pt idx="6">
                          <c:v>Energy Savings: 38%</c:v>
                        </c:pt>
                        <c:pt idx="7">
                          <c:v>Energy Savings: 62%</c:v>
                        </c:pt>
                        <c:pt idx="8">
                          <c:v>Energy Savings: 69%</c:v>
                        </c:pt>
                      </c15:dlblRangeCache>
                    </c15:datalabelsRange>
                  </c:ext>
                  <c:ext xmlns:c16="http://schemas.microsoft.com/office/drawing/2014/chart" uri="{C3380CC4-5D6E-409C-BE32-E72D297353CC}">
                    <c16:uniqueId val="{0000000A-13B0-4CFB-8FFE-C2B460367664}"/>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'Homes - 2022'!$B$33</c15:sqref>
                        </c15:formulaRef>
                      </c:ext>
                    </c:extLst>
                    <c:strCache>
                      <c:ptCount val="1"/>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'Homes - 2022'!$C$23:$O$23</c15:sqref>
                        </c15:formulaRef>
                      </c:ext>
                    </c:extLst>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extLst xmlns:c15="http://schemas.microsoft.com/office/drawing/2012/chart">
                      <c:ext xmlns:c15="http://schemas.microsoft.com/office/drawing/2012/chart" uri="{02D57815-91ED-43cb-92C2-25804820EDAC}">
                        <c15:formulaRef>
                          <c15:sqref>'Homes - 2022'!$C$33:$O$33</c15:sqref>
                        </c15:formulaRef>
                      </c:ext>
                    </c:extLst>
                    <c:numCache>
                      <c:formatCode>0.0%</c:formatCode>
                      <c:ptCount val="12"/>
                      <c:pt idx="1">
                        <c:v>0.21129050280252126</c:v>
                      </c:pt>
                      <c:pt idx="2">
                        <c:v>0.3762202833583872</c:v>
                      </c:pt>
                      <c:pt idx="3">
                        <c:v>0.16199845842527849</c:v>
                      </c:pt>
                      <c:pt idx="4">
                        <c:v>0.28025120218792809</c:v>
                      </c:pt>
                      <c:pt idx="5">
                        <c:v>0.3762202833583872</c:v>
                      </c:pt>
                      <c:pt idx="6">
                        <c:v>0.61770157850866492</c:v>
                      </c:pt>
                      <c:pt idx="7">
                        <c:v>0.69118517226024179</c:v>
                      </c:pt>
                      <c:pt idx="8">
                        <c:v>0.74707441152926157</c:v>
                      </c:pt>
                      <c:pt idx="9">
                        <c:v>0.65450158349924248</c:v>
                      </c:pt>
                      <c:pt idx="10">
                        <c:v>0.70851109972329818</c:v>
                      </c:pt>
                      <c:pt idx="11">
                        <c:v>0.74707441152926157</c:v>
                      </c:pt>
                    </c:numCache>
                  </c:numRef>
                </c:val>
                <c:extLst xmlns:c15="http://schemas.microsoft.com/office/drawing/2012/chart">
                  <c:ext xmlns:c16="http://schemas.microsoft.com/office/drawing/2014/chart" uri="{C3380CC4-5D6E-409C-BE32-E72D297353CC}">
                    <c16:uniqueId val="{00000004-B0F9-4534-A459-131BD694B4CE}"/>
                  </c:ext>
                </c:extLst>
              </c15:ser>
            </c15:filteredBarSeries>
          </c:ext>
        </c:extLst>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Energy Use Intensity (kBtu/ft</a:t>
                </a:r>
                <a:r>
                  <a:rPr lang="en-US" baseline="30000"/>
                  <a:t>2</a:t>
                </a:r>
                <a:r>
                  <a:rPr lang="en-US"/>
                  <a:t>/yr)</a:t>
                </a:r>
              </a:p>
            </c:rich>
          </c:tx>
          <c:layout>
            <c:manualLayout>
              <c:xMode val="edge"/>
              <c:yMode val="edge"/>
              <c:x val="5.4158596352143373E-2"/>
              <c:y val="0.172719945439890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Energy Cost </a:t>
            </a:r>
            <a:r>
              <a:rPr lang="en-US" baseline="0"/>
              <a:t>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'Homes - 2022'!$B$35</c:f>
              <c:strCache>
                <c:ptCount val="1"/>
                <c:pt idx="0">
                  <c:v>Lighting</c:v>
                </c:pt>
              </c:strCache>
            </c:strRef>
          </c:tx>
          <c:spPr>
            <a:solidFill>
              <a:schemeClr val="accent1"/>
            </a:solidFill>
            <a:ln>
              <a:noFill/>
            </a:ln>
            <a:effectLst/>
          </c:spPr>
          <c:invertIfNegative val="0"/>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- 2022'!$C$35:$O$35</c:f>
              <c:numCache>
                <c:formatCode>"$"#,##0</c:formatCode>
                <c:ptCount val="12"/>
                <c:pt idx="0">
                  <c:v>138.06258623718887</c:v>
                </c:pt>
                <c:pt idx="1">
                  <c:v>138.06258623718887</c:v>
                </c:pt>
                <c:pt idx="2">
                  <c:v>138.06258623718887</c:v>
                </c:pt>
                <c:pt idx="3">
                  <c:v>138.06258623718887</c:v>
                </c:pt>
                <c:pt idx="4">
                  <c:v>138.06258623718887</c:v>
                </c:pt>
                <c:pt idx="5">
                  <c:v>138.06258623718887</c:v>
                </c:pt>
                <c:pt idx="6">
                  <c:v>138.06258623718887</c:v>
                </c:pt>
                <c:pt idx="7">
                  <c:v>138.06258623718887</c:v>
                </c:pt>
                <c:pt idx="8">
                  <c:v>138.06258623718887</c:v>
                </c:pt>
                <c:pt idx="9">
                  <c:v>138.06258623718887</c:v>
                </c:pt>
                <c:pt idx="10">
                  <c:v>138.06258623718887</c:v>
                </c:pt>
                <c:pt idx="11">
                  <c:v>138.06258623718887</c:v>
                </c:pt>
              </c:numCache>
            </c:numRef>
          </c:val>
          <c:extLst>
            <c:ext xmlns:c16="http://schemas.microsoft.com/office/drawing/2014/chart" uri="{C3380CC4-5D6E-409C-BE32-E72D297353CC}">
              <c16:uniqueId val="{00000000-F035-4DDC-9C7B-C10C87F51860}"/>
            </c:ext>
          </c:extLst>
        </c:ser>
        <c:ser>
          <c:idx val="1"/>
          <c:order val="1"/>
          <c:tx>
            <c:strRef>
              <c:f>'Homes - 2022'!$B$36</c:f>
              <c:strCache>
                <c:ptCount val="1"/>
                <c:pt idx="0">
                  <c:v>Heating</c:v>
                </c:pt>
              </c:strCache>
            </c:strRef>
          </c:tx>
          <c:spPr>
            <a:solidFill>
              <a:schemeClr val="accent2"/>
            </a:solidFill>
            <a:ln>
              <a:noFill/>
            </a:ln>
            <a:effectLst/>
          </c:spPr>
          <c:invertIfNegative val="0"/>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- 2022'!$C$36:$O$36</c:f>
              <c:numCache>
                <c:formatCode>"$"#,##0</c:formatCode>
                <c:ptCount val="12"/>
                <c:pt idx="0">
                  <c:v>583.03358766859344</c:v>
                </c:pt>
                <c:pt idx="1">
                  <c:v>456.0479768786127</c:v>
                </c:pt>
                <c:pt idx="2">
                  <c:v>350.27192678227362</c:v>
                </c:pt>
                <c:pt idx="3">
                  <c:v>460.5660346820809</c:v>
                </c:pt>
                <c:pt idx="4">
                  <c:v>402.83471676300582</c:v>
                </c:pt>
                <c:pt idx="5">
                  <c:v>350.27192678227362</c:v>
                </c:pt>
                <c:pt idx="6">
                  <c:v>900.81692415812574</c:v>
                </c:pt>
                <c:pt idx="7">
                  <c:v>681.28715783308917</c:v>
                </c:pt>
                <c:pt idx="8">
                  <c:v>506.98517715959002</c:v>
                </c:pt>
                <c:pt idx="9">
                  <c:v>700.17606442166903</c:v>
                </c:pt>
                <c:pt idx="10">
                  <c:v>596.47801464128827</c:v>
                </c:pt>
                <c:pt idx="11">
                  <c:v>506.98517715959002</c:v>
                </c:pt>
              </c:numCache>
            </c:numRef>
          </c:val>
          <c:extLst>
            <c:ext xmlns:c16="http://schemas.microsoft.com/office/drawing/2014/chart" uri="{C3380CC4-5D6E-409C-BE32-E72D297353CC}">
              <c16:uniqueId val="{00000001-F035-4DDC-9C7B-C10C87F51860}"/>
            </c:ext>
          </c:extLst>
        </c:ser>
        <c:ser>
          <c:idx val="2"/>
          <c:order val="2"/>
          <c:tx>
            <c:strRef>
              <c:f>'Homes - 2022'!$B$37</c:f>
              <c:strCache>
                <c:ptCount val="1"/>
                <c:pt idx="0">
                  <c:v>Cooling</c:v>
                </c:pt>
              </c:strCache>
            </c:strRef>
          </c:tx>
          <c:spPr>
            <a:solidFill>
              <a:schemeClr val="accent3"/>
            </a:solidFill>
            <a:ln>
              <a:noFill/>
            </a:ln>
            <a:effectLst/>
          </c:spPr>
          <c:invertIfNegative val="0"/>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- 2022'!$C$37:$O$37</c:f>
              <c:numCache>
                <c:formatCode>"$"#,##0</c:formatCode>
                <c:ptCount val="12"/>
                <c:pt idx="0">
                  <c:v>477.23762225475843</c:v>
                </c:pt>
                <c:pt idx="1">
                  <c:v>304.67362342606145</c:v>
                </c:pt>
                <c:pt idx="2">
                  <c:v>241.5432445095168</c:v>
                </c:pt>
                <c:pt idx="3">
                  <c:v>435.9746436310395</c:v>
                </c:pt>
                <c:pt idx="4">
                  <c:v>296.29887437774522</c:v>
                </c:pt>
                <c:pt idx="5">
                  <c:v>241.5432445095168</c:v>
                </c:pt>
                <c:pt idx="6">
                  <c:v>218.67112737920934</c:v>
                </c:pt>
                <c:pt idx="7">
                  <c:v>134.63723221083455</c:v>
                </c:pt>
                <c:pt idx="8">
                  <c:v>113.38980029282575</c:v>
                </c:pt>
                <c:pt idx="9">
                  <c:v>232.00792386530011</c:v>
                </c:pt>
                <c:pt idx="10">
                  <c:v>134.15471508052707</c:v>
                </c:pt>
                <c:pt idx="11">
                  <c:v>113.38980029282575</c:v>
                </c:pt>
              </c:numCache>
            </c:numRef>
          </c:val>
          <c:extLst>
            <c:ext xmlns:c16="http://schemas.microsoft.com/office/drawing/2014/chart" uri="{C3380CC4-5D6E-409C-BE32-E72D297353CC}">
              <c16:uniqueId val="{00000002-F035-4DDC-9C7B-C10C87F51860}"/>
            </c:ext>
          </c:extLst>
        </c:ser>
        <c:ser>
          <c:idx val="3"/>
          <c:order val="3"/>
          <c:tx>
            <c:strRef>
              <c:f>'Homes - 2022'!$B$38</c:f>
              <c:strCache>
                <c:ptCount val="1"/>
                <c:pt idx="0">
                  <c:v>Pumps</c:v>
                </c:pt>
              </c:strCache>
            </c:strRef>
          </c:tx>
          <c:spPr>
            <a:solidFill>
              <a:schemeClr val="accent4"/>
            </a:solidFill>
            <a:ln>
              <a:noFill/>
            </a:ln>
            <a:effectLst/>
          </c:spPr>
          <c:invertIfNegative val="0"/>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- 2022'!$C$38:$O$38</c:f>
              <c:numCache>
                <c:formatCode>"$"#,##0</c:formatCode>
                <c:ptCount val="12"/>
                <c:pt idx="0">
                  <c:v>5.4060322108345528E-2</c:v>
                </c:pt>
                <c:pt idx="1">
                  <c:v>4.4858565153733522E-2</c:v>
                </c:pt>
                <c:pt idx="2">
                  <c:v>3.9682576866764269E-2</c:v>
                </c:pt>
                <c:pt idx="3">
                  <c:v>5.4060322108345528E-2</c:v>
                </c:pt>
                <c:pt idx="4">
                  <c:v>4.4858565153733522E-2</c:v>
                </c:pt>
                <c:pt idx="5">
                  <c:v>3.9682576866764269E-2</c:v>
                </c:pt>
                <c:pt idx="6">
                  <c:v>16.564312737920933</c:v>
                </c:pt>
                <c:pt idx="7">
                  <c:v>12.744433382137627</c:v>
                </c:pt>
                <c:pt idx="8">
                  <c:v>10.151838360175695</c:v>
                </c:pt>
                <c:pt idx="9">
                  <c:v>14.482990336749634</c:v>
                </c:pt>
                <c:pt idx="10">
                  <c:v>11.658050951683748</c:v>
                </c:pt>
                <c:pt idx="11">
                  <c:v>10.151838360175695</c:v>
                </c:pt>
              </c:numCache>
            </c:numRef>
          </c:val>
          <c:extLst>
            <c:ext xmlns:c16="http://schemas.microsoft.com/office/drawing/2014/chart" uri="{C3380CC4-5D6E-409C-BE32-E72D297353CC}">
              <c16:uniqueId val="{00000003-F035-4DDC-9C7B-C10C87F51860}"/>
            </c:ext>
          </c:extLst>
        </c:ser>
        <c:ser>
          <c:idx val="4"/>
          <c:order val="4"/>
          <c:tx>
            <c:strRef>
              <c:f>'Homes - 2022'!$B$39</c:f>
              <c:strCache>
                <c:ptCount val="1"/>
                <c:pt idx="0">
                  <c:v>Fans</c:v>
                </c:pt>
              </c:strCache>
            </c:strRef>
          </c:tx>
          <c:spPr>
            <a:solidFill>
              <a:schemeClr val="accent5"/>
            </a:solidFill>
            <a:ln>
              <a:noFill/>
            </a:ln>
            <a:effectLst/>
          </c:spPr>
          <c:invertIfNegative val="0"/>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- 2022'!$C$39:$O$39</c:f>
              <c:numCache>
                <c:formatCode>"$"#,##0</c:formatCode>
                <c:ptCount val="12"/>
                <c:pt idx="0">
                  <c:v>429.37008257686671</c:v>
                </c:pt>
                <c:pt idx="1">
                  <c:v>336.02573469985356</c:v>
                </c:pt>
                <c:pt idx="2">
                  <c:v>239.08637540263538</c:v>
                </c:pt>
                <c:pt idx="3">
                  <c:v>346.67791859443628</c:v>
                </c:pt>
                <c:pt idx="4">
                  <c:v>299.49648491947289</c:v>
                </c:pt>
                <c:pt idx="5">
                  <c:v>239.08637540263538</c:v>
                </c:pt>
                <c:pt idx="6">
                  <c:v>142.60307818448021</c:v>
                </c:pt>
                <c:pt idx="7">
                  <c:v>123.64975929721814</c:v>
                </c:pt>
                <c:pt idx="8">
                  <c:v>75.22723865300145</c:v>
                </c:pt>
                <c:pt idx="9">
                  <c:v>100.85815754026353</c:v>
                </c:pt>
                <c:pt idx="10">
                  <c:v>101.40853762811126</c:v>
                </c:pt>
                <c:pt idx="11">
                  <c:v>75.22723865300145</c:v>
                </c:pt>
              </c:numCache>
            </c:numRef>
          </c:val>
          <c:extLst>
            <c:ext xmlns:c16="http://schemas.microsoft.com/office/drawing/2014/chart" uri="{C3380CC4-5D6E-409C-BE32-E72D297353CC}">
              <c16:uniqueId val="{00000004-F035-4DDC-9C7B-C10C87F51860}"/>
            </c:ext>
          </c:extLst>
        </c:ser>
        <c:ser>
          <c:idx val="5"/>
          <c:order val="5"/>
          <c:tx>
            <c:strRef>
              <c:f>'Homes - 2022'!$B$40</c:f>
              <c:strCache>
                <c:ptCount val="1"/>
                <c:pt idx="0">
                  <c:v>Receptacles</c:v>
                </c:pt>
              </c:strCache>
            </c:strRef>
          </c:tx>
          <c:spPr>
            <a:solidFill>
              <a:schemeClr val="accent6"/>
            </a:solidFill>
            <a:ln>
              <a:noFill/>
            </a:ln>
            <a:effectLst/>
          </c:spPr>
          <c:invertIfNegative val="0"/>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- 2022'!$C$40:$O$40</c:f>
              <c:numCache>
                <c:formatCode>"$"#,##0</c:formatCode>
                <c:ptCount val="12"/>
                <c:pt idx="0">
                  <c:v>423.58165994634345</c:v>
                </c:pt>
                <c:pt idx="1">
                  <c:v>365.35524237679732</c:v>
                </c:pt>
                <c:pt idx="2">
                  <c:v>307.12882480725119</c:v>
                </c:pt>
                <c:pt idx="3">
                  <c:v>423.58165994634345</c:v>
                </c:pt>
                <c:pt idx="4">
                  <c:v>365.35524237679732</c:v>
                </c:pt>
                <c:pt idx="5">
                  <c:v>307.12882480725119</c:v>
                </c:pt>
                <c:pt idx="6">
                  <c:v>423.58165994634345</c:v>
                </c:pt>
                <c:pt idx="7">
                  <c:v>365.35524237679732</c:v>
                </c:pt>
                <c:pt idx="8">
                  <c:v>307.12882480725119</c:v>
                </c:pt>
                <c:pt idx="9">
                  <c:v>423.58165994634345</c:v>
                </c:pt>
                <c:pt idx="10">
                  <c:v>365.35524237679732</c:v>
                </c:pt>
                <c:pt idx="11">
                  <c:v>307.12882480725119</c:v>
                </c:pt>
              </c:numCache>
            </c:numRef>
          </c:val>
          <c:extLst>
            <c:ext xmlns:c16="http://schemas.microsoft.com/office/drawing/2014/chart" uri="{C3380CC4-5D6E-409C-BE32-E72D297353CC}">
              <c16:uniqueId val="{00000005-F035-4DDC-9C7B-C10C87F51860}"/>
            </c:ext>
          </c:extLst>
        </c:ser>
        <c:ser>
          <c:idx val="6"/>
          <c:order val="6"/>
          <c:tx>
            <c:strRef>
              <c:f>'Homes - 2022'!$B$41</c:f>
              <c:strCache>
                <c:ptCount val="1"/>
                <c:pt idx="0">
                  <c:v>DHW</c:v>
                </c:pt>
              </c:strCache>
            </c:strRef>
          </c:tx>
          <c:spPr>
            <a:solidFill>
              <a:schemeClr val="accent1">
                <a:lumMod val="60000"/>
              </a:schemeClr>
            </a:solidFill>
            <a:ln>
              <a:noFill/>
            </a:ln>
            <a:effectLst/>
          </c:spPr>
          <c:invertIfNegative val="0"/>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- 2022'!$C$41:$O$41</c:f>
              <c:numCache>
                <c:formatCode>"$"#,##0</c:formatCode>
                <c:ptCount val="12"/>
                <c:pt idx="0">
                  <c:v>62.600285163776491</c:v>
                </c:pt>
                <c:pt idx="1">
                  <c:v>52.164007707129095</c:v>
                </c:pt>
                <c:pt idx="2">
                  <c:v>45.901672447013482</c:v>
                </c:pt>
                <c:pt idx="3">
                  <c:v>62.594123314065513</c:v>
                </c:pt>
                <c:pt idx="4">
                  <c:v>52.161795761078999</c:v>
                </c:pt>
                <c:pt idx="5">
                  <c:v>45.901672447013482</c:v>
                </c:pt>
                <c:pt idx="6">
                  <c:v>62.619876685934493</c:v>
                </c:pt>
                <c:pt idx="7">
                  <c:v>52.165824662813108</c:v>
                </c:pt>
                <c:pt idx="8">
                  <c:v>45.904990366088633</c:v>
                </c:pt>
                <c:pt idx="9">
                  <c:v>62.679046242774568</c:v>
                </c:pt>
                <c:pt idx="10">
                  <c:v>52.166219653179191</c:v>
                </c:pt>
                <c:pt idx="11">
                  <c:v>45.904990366088633</c:v>
                </c:pt>
              </c:numCache>
            </c:numRef>
          </c:val>
          <c:extLst>
            <c:ext xmlns:c16="http://schemas.microsoft.com/office/drawing/2014/chart" uri="{C3380CC4-5D6E-409C-BE32-E72D297353CC}">
              <c16:uniqueId val="{00000006-F035-4DDC-9C7B-C10C87F51860}"/>
            </c:ext>
          </c:extLst>
        </c:ser>
        <c:ser>
          <c:idx val="8"/>
          <c:order val="8"/>
          <c:tx>
            <c:strRef>
              <c:f>'Homes - 2022'!$C$43:$C$44</c:f>
              <c:strCache>
                <c:ptCount val="1"/>
                <c:pt idx="0">
                  <c:v>Savings:</c:v>
                </c:pt>
              </c:strCache>
            </c:strRef>
          </c:tx>
          <c:spPr>
            <a:pattFill prst="ltUpDiag">
              <a:fgClr>
                <a:srgbClr val="92D050"/>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3647-4768-92F2-54F760DDC3E2}"/>
                </c:ext>
              </c:extLst>
            </c:dLbl>
            <c:dLbl>
              <c:idx val="1"/>
              <c:tx>
                <c:rich>
                  <a:bodyPr/>
                  <a:lstStyle/>
                  <a:p>
                    <a:r>
                      <a:rPr lang="en-US"/>
                      <a:t>Savings:</a:t>
                    </a:r>
                  </a:p>
                  <a:p>
                    <a:fld id="{0D4050D6-1F43-4DA6-989D-6BA02A9A1CBC}"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{0D4050D6-1F43-4DA6-989D-6BA02A9A1CBC}</c15:txfldGUID>
                      <c15:f>'Homes - 2022'!$D$44</c15:f>
                      <c15:dlblFieldTableCache>
                        <c:ptCount val="1"/>
                        <c:pt idx="0">
                          <c:v>21.8%</c:v>
                        </c:pt>
                      </c15:dlblFieldTableCache>
                    </c15:dlblFTEntry>
                  </c15:dlblFieldTable>
                  <c15:showDataLabelsRange val="0"/>
                </c:ext>
                <c:ext xmlns:c16="http://schemas.microsoft.com/office/drawing/2014/chart" uri="{C3380CC4-5D6E-409C-BE32-E72D297353CC}">
                  <c16:uniqueId val="{00000009-3647-4768-92F2-54F760DDC3E2}"/>
                </c:ext>
              </c:extLst>
            </c:dLbl>
            <c:dLbl>
              <c:idx val="2"/>
              <c:tx>
                <c:rich>
                  <a:bodyPr/>
                  <a:lstStyle/>
                  <a:p>
                    <a:fld id="{8B2A3CEA-1BA8-4265-9430-107FFD5D0082}"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{8B2A3CEA-1BA8-4265-9430-107FFD5D0082}</c15:txfldGUID>
                      <c15:f>'Homes - 2022'!$E$44</c15:f>
                      <c15:dlblFieldTableCache>
                        <c:ptCount val="1"/>
                        <c:pt idx="0">
                          <c:v>37.5%</c:v>
                        </c:pt>
                      </c15:dlblFieldTableCache>
                    </c15:dlblFTEntry>
                  </c15:dlblFieldTable>
                  <c15:showDataLabelsRange val="0"/>
                </c:ext>
                <c:ext xmlns:c16="http://schemas.microsoft.com/office/drawing/2014/chart" uri="{C3380CC4-5D6E-409C-BE32-E72D297353CC}">
                  <c16:uniqueId val="{0000000A-3647-4768-92F2-54F760DDC3E2}"/>
                </c:ext>
              </c:extLst>
            </c:dLbl>
            <c:dLbl>
              <c:idx val="3"/>
              <c:tx>
                <c:rich>
                  <a:bodyPr/>
                  <a:lstStyle/>
                  <a:p>
                    <a:fld id="{4BFA8145-64D9-4D94-96F6-1EB76A79F99B}"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{4BFA8145-64D9-4D94-96F6-1EB76A79F99B}</c15:txfldGUID>
                      <c15:f>'Homes - 2022'!$G$44</c15:f>
                      <c15:dlblFieldTableCache>
                        <c:ptCount val="1"/>
                        <c:pt idx="0">
                          <c:v>11.7%</c:v>
                        </c:pt>
                      </c15:dlblFieldTableCache>
                    </c15:dlblFTEntry>
                  </c15:dlblFieldTable>
                  <c15:showDataLabelsRange val="0"/>
                </c:ext>
                <c:ext xmlns:c16="http://schemas.microsoft.com/office/drawing/2014/chart" uri="{C3380CC4-5D6E-409C-BE32-E72D297353CC}">
                  <c16:uniqueId val="{0000000B-3647-4768-92F2-54F760DDC3E2}"/>
                </c:ext>
              </c:extLst>
            </c:dLbl>
            <c:dLbl>
              <c:idx val="4"/>
              <c:tx>
                <c:rich>
                  <a:bodyPr/>
                  <a:lstStyle/>
                  <a:p>
                    <a:fld id="{FD81C886-3082-48E1-B796-FA0E4C5D9B09}"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{FD81C886-3082-48E1-B796-FA0E4C5D9B09}</c15:txfldGUID>
                      <c15:f>'Homes - 2022'!$H$44</c15:f>
                      <c15:dlblFieldTableCache>
                        <c:ptCount val="1"/>
                        <c:pt idx="0">
                          <c:v>26.5%</c:v>
                        </c:pt>
                      </c15:dlblFieldTableCache>
                    </c15:dlblFTEntry>
                  </c15:dlblFieldTable>
                  <c15:showDataLabelsRange val="0"/>
                </c:ext>
                <c:ext xmlns:c16="http://schemas.microsoft.com/office/drawing/2014/chart" uri="{C3380CC4-5D6E-409C-BE32-E72D297353CC}">
                  <c16:uniqueId val="{0000000C-3647-4768-92F2-54F760DDC3E2}"/>
                </c:ext>
              </c:extLst>
            </c:dLbl>
            <c:dLbl>
              <c:idx val="5"/>
              <c:tx>
                <c:rich>
                  <a:bodyPr/>
                  <a:lstStyle/>
                  <a:p>
                    <a:fld id="{8DC30F0F-F66B-4C69-92BC-6D2181AF1AFE}"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{8DC30F0F-F66B-4C69-92BC-6D2181AF1AFE}</c15:txfldGUID>
                      <c15:f>'Homes - 2022'!$I$44</c15:f>
                      <c15:dlblFieldTableCache>
                        <c:ptCount val="1"/>
                        <c:pt idx="0">
                          <c:v>37.5%</c:v>
                        </c:pt>
                      </c15:dlblFieldTableCache>
                    </c15:dlblFTEntry>
                  </c15:dlblFieldTable>
                  <c15:showDataLabelsRange val="0"/>
                </c:ext>
                <c:ext xmlns:c16="http://schemas.microsoft.com/office/drawing/2014/chart" uri="{C3380CC4-5D6E-409C-BE32-E72D297353CC}">
                  <c16:uniqueId val="{0000000D-3647-4768-92F2-54F760DDC3E2}"/>
                </c:ext>
              </c:extLst>
            </c:dLbl>
            <c:dLbl>
              <c:idx val="6"/>
              <c:tx>
                <c:rich>
                  <a:bodyPr/>
                  <a:lstStyle/>
                  <a:p>
                    <a:fld id="{559AFE73-56C7-44CE-821E-3741863275D7}"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{559AFE73-56C7-44CE-821E-3741863275D7}</c15:txfldGUID>
                      <c15:f>'Homes - 2022'!$J$44</c15:f>
                      <c15:dlblFieldTableCache>
                        <c:ptCount val="1"/>
                        <c:pt idx="0">
                          <c:v>10.0%</c:v>
                        </c:pt>
                      </c15:dlblFieldTableCache>
                    </c15:dlblFTEntry>
                  </c15:dlblFieldTable>
                  <c15:showDataLabelsRange val="0"/>
                </c:ext>
                <c:ext xmlns:c16="http://schemas.microsoft.com/office/drawing/2014/chart" uri="{C3380CC4-5D6E-409C-BE32-E72D297353CC}">
                  <c16:uniqueId val="{0000000E-3647-4768-92F2-54F760DDC3E2}"/>
                </c:ext>
              </c:extLst>
            </c:dLbl>
            <c:dLbl>
              <c:idx val="7"/>
              <c:tx>
                <c:rich>
                  <a:bodyPr/>
                  <a:lstStyle/>
                  <a:p>
                    <a:fld id="{08376E1E-B432-4BB5-9B3A-19D347C44BE8}"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{08376E1E-B432-4BB5-9B3A-19D347C44BE8}</c15:txfldGUID>
                      <c15:f>'Homes - 2022'!$K$44</c15:f>
                      <c15:dlblFieldTableCache>
                        <c:ptCount val="1"/>
                        <c:pt idx="0">
                          <c:v>28.7%</c:v>
                        </c:pt>
                      </c15:dlblFieldTableCache>
                    </c15:dlblFTEntry>
                  </c15:dlblFieldTable>
                  <c15:showDataLabelsRange val="0"/>
                </c:ext>
                <c:ext xmlns:c16="http://schemas.microsoft.com/office/drawing/2014/chart" uri="{C3380CC4-5D6E-409C-BE32-E72D297353CC}">
                  <c16:uniqueId val="{0000000F-3647-4768-92F2-54F760DDC3E2}"/>
                </c:ext>
              </c:extLst>
            </c:dLbl>
            <c:dLbl>
              <c:idx val="8"/>
              <c:tx>
                <c:rich>
                  <a:bodyPr/>
                  <a:lstStyle/>
                  <a:p>
                    <a:fld id="{3AE58BBE-B84A-4414-A535-320A89B97246}"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{3AE58BBE-B84A-4414-A535-320A89B97246}</c15:txfldGUID>
                      <c15:f>'Homes - 2022'!$L$44</c15:f>
                      <c15:dlblFieldTableCache>
                        <c:ptCount val="1"/>
                        <c:pt idx="0">
                          <c:v>43.4%</c:v>
                        </c:pt>
                      </c15:dlblFieldTableCache>
                    </c15:dlblFTEntry>
                  </c15:dlblFieldTable>
                  <c15:showDataLabelsRange val="0"/>
                </c:ext>
                <c:ext xmlns:c16="http://schemas.microsoft.com/office/drawing/2014/chart" uri="{C3380CC4-5D6E-409C-BE32-E72D297353CC}">
                  <c16:uniqueId val="{00000010-3647-4768-92F2-54F760DDC3E2}"/>
                </c:ext>
              </c:extLst>
            </c:dLbl>
            <c:dLbl>
              <c:idx val="9"/>
              <c:tx>
                <c:rich>
                  <a:bodyPr/>
                  <a:lstStyle/>
                  <a:p>
                    <a:fld id="{44F357C0-7CAB-41A7-890D-E8830C93F9C1}"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{44F357C0-7CAB-41A7-890D-E8830C93F9C1}</c15:txfldGUID>
                      <c15:f>'Homes - 2022'!$M$44</c15:f>
                      <c15:dlblFieldTableCache>
                        <c:ptCount val="1"/>
                        <c:pt idx="0">
                          <c:v>20.9%</c:v>
                        </c:pt>
                      </c15:dlblFieldTableCache>
                    </c15:dlblFTEntry>
                  </c15:dlblFieldTable>
                  <c15:showDataLabelsRange val="0"/>
                </c:ext>
                <c:ext xmlns:c16="http://schemas.microsoft.com/office/drawing/2014/chart" uri="{C3380CC4-5D6E-409C-BE32-E72D297353CC}">
                  <c16:uniqueId val="{00000011-3647-4768-92F2-54F760DDC3E2}"/>
                </c:ext>
              </c:extLst>
            </c:dLbl>
            <c:dLbl>
              <c:idx val="10"/>
              <c:tx>
                <c:rich>
                  <a:bodyPr/>
                  <a:lstStyle/>
                  <a:p>
                    <a:fld id="{6B6C905B-1F2F-41F7-A6A4-7877C29FC2A8}"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{6B6C905B-1F2F-41F7-A6A4-7877C29FC2A8}</c15:txfldGUID>
                      <c15:f>'Homes - 2022'!$N$44</c15:f>
                      <c15:dlblFieldTableCache>
                        <c:ptCount val="1"/>
                        <c:pt idx="0">
                          <c:v>33.8%</c:v>
                        </c:pt>
                      </c15:dlblFieldTableCache>
                    </c15:dlblFTEntry>
                  </c15:dlblFieldTable>
                  <c15:showDataLabelsRange val="0"/>
                </c:ext>
                <c:ext xmlns:c16="http://schemas.microsoft.com/office/drawing/2014/chart" uri="{C3380CC4-5D6E-409C-BE32-E72D297353CC}">
                  <c16:uniqueId val="{00000012-3647-4768-92F2-54F760DDC3E2}"/>
                </c:ext>
              </c:extLst>
            </c:dLbl>
            <c:dLbl>
              <c:idx val="11"/>
              <c:tx>
                <c:rich>
                  <a:bodyPr/>
                  <a:lstStyle/>
                  <a:p>
                    <a:fld id="{69D65F13-04FD-4D8A-A272-4C60C7C1F737}"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{69D65F13-04FD-4D8A-A272-4C60C7C1F737}</c15:txfldGUID>
                      <c15:f>'Homes - 2022'!$O$44</c15:f>
                      <c15:dlblFieldTableCache>
                        <c:ptCount val="1"/>
                        <c:pt idx="0">
                          <c:v>43.4%</c:v>
                        </c:pt>
                      </c15:dlblFieldTableCache>
                    </c15:dlblFTEntry>
                  </c15:dlblFieldTable>
                  <c15:showDataLabelsRange val="0"/>
                </c:ext>
                <c:ext xmlns:c16="http://schemas.microsoft.com/office/drawing/2014/chart" uri="{C3380CC4-5D6E-409C-BE32-E72D297353CC}">
                  <c16:uniqueId val="{00000013-3647-4768-92F2-54F760DDC3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- 2022'!$C$43:$O$43</c:f>
              <c:numCache>
                <c:formatCode>"$"#,##0</c:formatCode>
                <c:ptCount val="12"/>
                <c:pt idx="0" formatCode="General">
                  <c:v>0</c:v>
                </c:pt>
                <c:pt idx="1">
                  <c:v>461.56585427883897</c:v>
                </c:pt>
                <c:pt idx="2">
                  <c:v>791.90557140688952</c:v>
                </c:pt>
                <c:pt idx="3">
                  <c:v>246.42885744237287</c:v>
                </c:pt>
                <c:pt idx="4">
                  <c:v>559.68532516919299</c:v>
                </c:pt>
                <c:pt idx="5">
                  <c:v>791.90557140688952</c:v>
                </c:pt>
                <c:pt idx="6">
                  <c:v>211.02031884043254</c:v>
                </c:pt>
                <c:pt idx="7">
                  <c:v>606.03764816955663</c:v>
                </c:pt>
                <c:pt idx="8">
                  <c:v>917.08942829351417</c:v>
                </c:pt>
                <c:pt idx="9">
                  <c:v>442.0914555793463</c:v>
                </c:pt>
                <c:pt idx="10">
                  <c:v>714.65651760085962</c:v>
                </c:pt>
                <c:pt idx="11">
                  <c:v>917.08942829351417</c:v>
                </c:pt>
              </c:numCache>
            </c:numRef>
          </c:val>
          <c:extLst>
            <c:ext xmlns:c16="http://schemas.microsoft.com/office/drawing/2014/chart" uri="{C3380CC4-5D6E-409C-BE32-E72D297353CC}">
              <c16:uniqueId val="{00000003-3647-4768-92F2-54F760DDC3E2}"/>
            </c:ext>
          </c:extLst>
        </c:ser>
        <c:dLbls>
          <c:showLegendKey val="0"/>
          <c:showVal val="0"/>
          <c:showCatName val="0"/>
          <c:showSerName val="0"/>
          <c:showPercent val="0"/>
          <c:showBubbleSize val="0"/>
        </c:dLbls>
        <c:gapWidth val="150"/>
        <c:overlap val="100"/>
        <c:axId val="1219553984"/>
        <c:axId val="1219555952"/>
        <c:extLst>
          <c:ext xmlns:c15="http://schemas.microsoft.com/office/drawing/2012/chart" uri="{02D57815-91ED-43cb-92C2-25804820EDAC}">
            <c15:filteredBarSeries>
              <c15:ser>
                <c:idx val="7"/>
                <c:order val="7"/>
                <c:tx>
                  <c:strRef>
                    <c:extLst>
                      <c:ext uri="{02D57815-91ED-43cb-92C2-25804820EDAC}">
                        <c15:formulaRef>
                          <c15:sqref>'Homes - 2022'!$B$42</c15:sqref>
                        </c15:formulaRef>
                      </c:ext>
                    </c:extLst>
                    <c:strCache>
                      <c:ptCount val="1"/>
                      <c:pt idx="0">
                        <c:v>Cost</c:v>
                      </c:pt>
                    </c:strCache>
                  </c:strRef>
                </c:tx>
                <c:spPr>
                  <a:pattFill prst="ltUpDiag">
                    <a:fgClr>
                      <a:schemeClr val="accent3"/>
                    </a:fgClr>
                    <a:bgClr>
                      <a:schemeClr val="bg1"/>
                    </a:bgClr>
                  </a:pattFill>
                  <a:ln>
                    <a:noFill/>
                  </a:ln>
                  <a:effectLst/>
                </c:spPr>
                <c:invertIfNegative val="0"/>
                <c:dLbls>
                  <c:dLbl>
                    <c:idx val="0"/>
                    <c:tx>
                      <c:rich>
                        <a:bodyPr/>
                        <a:lstStyle/>
                        <a:p>
                          <a:fld id="{D59EBAC3-3B9A-42A0-9B42-45E0C88EE649}"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7-F035-4DDC-9C7B-C10C87F51860}"/>
                      </c:ext>
                    </c:extLst>
                  </c:dLbl>
                  <c:dLbl>
                    <c:idx val="1"/>
                    <c:tx>
                      <c:rich>
                        <a:bodyPr/>
                        <a:lstStyle/>
                        <a:p>
                          <a:fld id="{EAAD68EF-08ED-42A1-A0A6-15C7A9A4A11B}"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8-F035-4DDC-9C7B-C10C87F51860}"/>
                      </c:ext>
                    </c:extLst>
                  </c:dLbl>
                  <c:dLbl>
                    <c:idx val="2"/>
                    <c:tx>
                      <c:rich>
                        <a:bodyPr/>
                        <a:lstStyle/>
                        <a:p>
                          <a:fld id="{44DEC910-BCCE-4CED-8F12-C7EE8A79B137}"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9-F035-4DDC-9C7B-C10C87F51860}"/>
                      </c:ext>
                    </c:extLst>
                  </c:dLbl>
                  <c:dLbl>
                    <c:idx val="3"/>
                    <c:tx>
                      <c:rich>
                        <a:bodyPr/>
                        <a:lstStyle/>
                        <a:p>
                          <a:fld id="{AC9146B9-0779-48DC-B46E-8958F6BCAED1}"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0-3647-4768-92F2-54F760DDC3E2}"/>
                      </c:ext>
                    </c:extLst>
                  </c:dLbl>
                  <c:dLbl>
                    <c:idx val="4"/>
                    <c:tx>
                      <c:rich>
                        <a:bodyPr/>
                        <a:lstStyle/>
                        <a:p>
                          <a:fld id="{2232C380-03FA-4FB4-BBA3-2CB0C8960CF8}"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0-4DF9-4AC9-AA60-652D805D2C3D}"/>
                      </c:ext>
                    </c:extLst>
                  </c:dLbl>
                  <c:dLbl>
                    <c:idx val="5"/>
                    <c:tx>
                      <c:rich>
                        <a:bodyPr/>
                        <a:lstStyle/>
                        <a:p>
                          <a:fld id="{3EDA8AFB-F8BB-451B-9794-15AC9B8FF3AF}"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1-4DF9-4AC9-AA60-652D805D2C3D}"/>
                      </c:ext>
                    </c:extLst>
                  </c:dLbl>
                  <c:dLbl>
                    <c:idx val="6"/>
                    <c:tx>
                      <c:rich>
                        <a:bodyPr/>
                        <a:lstStyle/>
                        <a:p>
                          <a:fld id="{2E644A8F-77CA-44F5-B09F-779759E68D13}"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2-4DF9-4AC9-AA60-652D805D2C3D}"/>
                      </c:ext>
                    </c:extLst>
                  </c:dLbl>
                  <c:dLbl>
                    <c:idx val="7"/>
                    <c:tx>
                      <c:rich>
                        <a:bodyPr/>
                        <a:lstStyle/>
                        <a:p>
                          <a:fld id="{C59CEC07-E877-4B09-B615-EBCE247A67C2}"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1-3647-4768-92F2-54F760DDC3E2}"/>
                      </c:ext>
                    </c:extLst>
                  </c:dLbl>
                  <c:dLbl>
                    <c:idx val="8"/>
                    <c:tx>
                      <c:rich>
                        <a:bodyPr/>
                        <a:lstStyle/>
                        <a:p>
                          <a:fld id="{4B3EF3CD-BDF1-447D-88B8-76A7E7881CC2}"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2-3647-4768-92F2-54F760DDC3E2}"/>
                      </c:ext>
                    </c:extLst>
                  </c:dLbl>
                  <c:dLbl>
                    <c:idx val="9"/>
                    <c:tx>
                      <c:rich>
                        <a:bodyPr/>
                        <a:lstStyle/>
                        <a:p>
                          <a:endParaRPr lang="en-US"/>
                        </a:p>
                      </c:rich>
                    </c:tx>
                    <c:dLblPos val="ctr"/>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05-3647-4768-92F2-54F760DDC3E2}"/>
                      </c:ext>
                    </c:extLst>
                  </c:dLbl>
                  <c:dLbl>
                    <c:idx val="10"/>
                    <c:tx>
                      <c:rich>
                        <a:bodyPr/>
                        <a:lstStyle/>
                        <a:p>
                          <a:endParaRPr lang="en-US"/>
                        </a:p>
                      </c:rich>
                    </c:tx>
                    <c:dLblPos val="ctr"/>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06-3647-4768-92F2-54F760DDC3E2}"/>
                      </c:ext>
                    </c:extLst>
                  </c:dLbl>
                  <c:dLbl>
                    <c:idx val="11"/>
                    <c:tx>
                      <c:rich>
                        <a:bodyPr/>
                        <a:lstStyle/>
                        <a:p>
                          <a:endParaRPr lang="en-US"/>
                        </a:p>
                      </c:rich>
                    </c:tx>
                    <c:dLblPos val="ctr"/>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07-3647-4768-92F2-54F760DDC3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ct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'Homes - 2022'!$C$23:$O$23</c15:sqref>
                        </c15:formulaRef>
                      </c:ext>
                    </c:extLst>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extLst>
                      <c:ext uri="{02D57815-91ED-43cb-92C2-25804820EDAC}">
                        <c15:formulaRef>
                          <c15:sqref>'Homes - 2022'!$C$42:$O$42</c15:sqref>
                        </c15:formulaRef>
                      </c:ext>
                    </c:extLst>
                    <c:numCache>
                      <c:formatCode>"$"#,##0</c:formatCode>
                      <c:ptCount val="12"/>
                      <c:pt idx="0">
                        <c:v>2113.9398841696357</c:v>
                      </c:pt>
                      <c:pt idx="1">
                        <c:v>1652.3740298907967</c:v>
                      </c:pt>
                      <c:pt idx="2">
                        <c:v>1322.0343127627461</c:v>
                      </c:pt>
                      <c:pt idx="3">
                        <c:v>1867.5110267272628</c:v>
                      </c:pt>
                      <c:pt idx="4">
                        <c:v>1554.2545590004427</c:v>
                      </c:pt>
                      <c:pt idx="5">
                        <c:v>1322.0343127627461</c:v>
                      </c:pt>
                      <c:pt idx="6">
                        <c:v>1902.9195653292031</c:v>
                      </c:pt>
                      <c:pt idx="7">
                        <c:v>1507.902236000079</c:v>
                      </c:pt>
                      <c:pt idx="8">
                        <c:v>1196.8504558761215</c:v>
                      </c:pt>
                      <c:pt idx="9">
                        <c:v>1671.8484285902894</c:v>
                      </c:pt>
                      <c:pt idx="10">
                        <c:v>1399.283366568776</c:v>
                      </c:pt>
                      <c:pt idx="11">
                        <c:v>1196.8504558761215</c:v>
                      </c:pt>
                    </c:numCache>
                  </c:numRef>
                </c:val>
                <c:extLst>
                  <c:ext uri="{02D57815-91ED-43cb-92C2-25804820EDAC}">
                    <c15:datalabelsRange>
                      <c15:f>'DB-End Use'!$C$30:$N$30</c15:f>
                      <c15:dlblRangeCache>
                        <c:ptCount val="9"/>
                        <c:pt idx="1">
                          <c:v>Cost Savings: 22%</c:v>
                        </c:pt>
                        <c:pt idx="2">
                          <c:v>Cost Savings: 37%</c:v>
                        </c:pt>
                        <c:pt idx="3">
                          <c:v>Cost Savings: 100%</c:v>
                        </c:pt>
                        <c:pt idx="4">
                          <c:v>Cost Savings: 12%</c:v>
                        </c:pt>
                        <c:pt idx="5">
                          <c:v>Cost Savings: 26%</c:v>
                        </c:pt>
                        <c:pt idx="6">
                          <c:v>Cost Savings: 37%</c:v>
                        </c:pt>
                        <c:pt idx="7">
                          <c:v>Cost Savings: 10%</c:v>
                        </c:pt>
                        <c:pt idx="8">
                          <c:v>Cost Savings: 29%</c:v>
                        </c:pt>
                      </c15:dlblRangeCache>
                    </c15:datalabelsRange>
                  </c:ext>
                  <c:ext xmlns:c16="http://schemas.microsoft.com/office/drawing/2014/chart" uri="{C3380CC4-5D6E-409C-BE32-E72D297353CC}">
                    <c16:uniqueId val="{00000013-F035-4DDC-9C7B-C10C87F51860}"/>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'Homes - 2022'!$B$44</c15:sqref>
                        </c15:formulaRef>
                      </c:ext>
                    </c:extLst>
                    <c:strCache>
                      <c:ptCount val="1"/>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'Homes - 2022'!$C$23:$O$23</c15:sqref>
                        </c15:formulaRef>
                      </c:ext>
                    </c:extLst>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extLst xmlns:c15="http://schemas.microsoft.com/office/drawing/2012/chart">
                      <c:ext xmlns:c15="http://schemas.microsoft.com/office/drawing/2012/chart" uri="{02D57815-91ED-43cb-92C2-25804820EDAC}">
                        <c15:formulaRef>
                          <c15:sqref>'Homes - 2022'!$C$44:$O$44</c15:sqref>
                        </c15:formulaRef>
                      </c:ext>
                    </c:extLst>
                    <c:numCache>
                      <c:formatCode>0.0%</c:formatCode>
                      <c:ptCount val="12"/>
                      <c:pt idx="1">
                        <c:v>0.21834388845931818</c:v>
                      </c:pt>
                      <c:pt idx="2">
                        <c:v>0.3746112069397628</c:v>
                      </c:pt>
                      <c:pt idx="3">
                        <c:v>0.11657325702011212</c:v>
                      </c:pt>
                      <c:pt idx="4">
                        <c:v>0.26475933840902</c:v>
                      </c:pt>
                      <c:pt idx="5">
                        <c:v>0.3746112069397628</c:v>
                      </c:pt>
                      <c:pt idx="6">
                        <c:v>9.9823235476406258E-2</c:v>
                      </c:pt>
                      <c:pt idx="7">
                        <c:v>0.28668632098192837</c:v>
                      </c:pt>
                      <c:pt idx="8">
                        <c:v>0.43382947413083639</c:v>
                      </c:pt>
                      <c:pt idx="9">
                        <c:v>0.2091315173576952</c:v>
                      </c:pt>
                      <c:pt idx="10">
                        <c:v>0.33806851507585778</c:v>
                      </c:pt>
                      <c:pt idx="11">
                        <c:v>0.43382947413083639</c:v>
                      </c:pt>
                    </c:numCache>
                  </c:numRef>
                </c:val>
                <c:extLst xmlns:c15="http://schemas.microsoft.com/office/drawing/2012/chart">
                  <c:ext xmlns:c16="http://schemas.microsoft.com/office/drawing/2014/chart" uri="{C3380CC4-5D6E-409C-BE32-E72D297353CC}">
                    <c16:uniqueId val="{00000004-3647-4768-92F2-54F760DDC3E2}"/>
                  </c:ext>
                </c:extLst>
              </c15:ser>
            </c15:filteredBarSeries>
          </c:ext>
        </c:extLst>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Energy Cost ($/yr)</a:t>
                </a:r>
              </a:p>
            </c:rich>
          </c:tx>
          <c:layout>
            <c:manualLayout>
              <c:xMode val="edge"/>
              <c:yMode val="edge"/>
              <c:x val="2.7411906382743153E-2"/>
              <c:y val="0.1727199761904142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Carbon </a:t>
            </a:r>
            <a:r>
              <a:rPr lang="en-US" baseline="0"/>
              <a:t>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'Homes - 2022'!$B$46</c:f>
              <c:strCache>
                <c:ptCount val="1"/>
                <c:pt idx="0">
                  <c:v>Carbon</c:v>
                </c:pt>
              </c:strCache>
            </c:strRef>
          </c:tx>
          <c:spPr>
            <a:solidFill>
              <a:schemeClr val="accent1"/>
            </a:solidFill>
            <a:ln>
              <a:noFill/>
            </a:ln>
            <a:effectLst/>
          </c:spPr>
          <c:invertIfNegative val="0"/>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- 2022'!$C$46:$O$46</c:f>
              <c:numCache>
                <c:formatCode>#,##0.0</c:formatCode>
                <c:ptCount val="12"/>
                <c:pt idx="0">
                  <c:v>9.2648090019990832</c:v>
                </c:pt>
                <c:pt idx="1">
                  <c:v>7.2657360566703426</c:v>
                </c:pt>
                <c:pt idx="2">
                  <c:v>5.7886688054046287</c:v>
                </c:pt>
                <c:pt idx="3">
                  <c:v>8.0312361979568614</c:v>
                </c:pt>
                <c:pt idx="4">
                  <c:v>6.7594995284660655</c:v>
                </c:pt>
                <c:pt idx="5">
                  <c:v>5.7886688054046287</c:v>
                </c:pt>
                <c:pt idx="6">
                  <c:v>6.5894610375767222</c:v>
                </c:pt>
                <c:pt idx="7">
                  <c:v>5.2414495517087003</c:v>
                </c:pt>
                <c:pt idx="8">
                  <c:v>4.1866479544478432</c:v>
                </c:pt>
                <c:pt idx="9">
                  <c:v>5.8218292938843268</c:v>
                </c:pt>
                <c:pt idx="10">
                  <c:v>4.8805185133794815</c:v>
                </c:pt>
                <c:pt idx="11">
                  <c:v>4.1866479544478432</c:v>
                </c:pt>
              </c:numCache>
            </c:numRef>
          </c:val>
          <c:extLst>
            <c:ext xmlns:c16="http://schemas.microsoft.com/office/drawing/2014/chart" uri="{C3380CC4-5D6E-409C-BE32-E72D297353CC}">
              <c16:uniqueId val="{00000000-D9AC-414B-836C-9AC0DF7F7AC7}"/>
            </c:ext>
          </c:extLst>
        </c:ser>
        <c:ser>
          <c:idx val="1"/>
          <c:order val="1"/>
          <c:tx>
            <c:strRef>
              <c:f>'Homes - 2022'!$C$47:$C$48</c:f>
              <c:strCache>
                <c:ptCount val="1"/>
                <c:pt idx="0">
                  <c:v>Savings:</c:v>
                </c:pt>
              </c:strCache>
            </c:strRef>
          </c:tx>
          <c:spPr>
            <a:pattFill prst="ltUpDiag">
              <a:fgClr>
                <a:srgbClr val="92D050"/>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22-D9AC-414B-836C-9AC0DF7F7AC7}"/>
                </c:ext>
              </c:extLst>
            </c:dLbl>
            <c:dLbl>
              <c:idx val="1"/>
              <c:tx>
                <c:rich>
                  <a:bodyPr/>
                  <a:lstStyle/>
                  <a:p>
                    <a:r>
                      <a:rPr lang="en-US"/>
                      <a:t>Savings:</a:t>
                    </a:r>
                  </a:p>
                  <a:p>
                    <a:fld id="{51A94686-9E5F-4306-A672-B5A78E8E527F}"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{51A94686-9E5F-4306-A672-B5A78E8E527F}</c15:txfldGUID>
                      <c15:f>'Homes - 2022'!$D$48</c15:f>
                      <c15:dlblFieldTableCache>
                        <c:ptCount val="1"/>
                        <c:pt idx="0">
                          <c:v>21.6%</c:v>
                        </c:pt>
                      </c15:dlblFieldTableCache>
                    </c15:dlblFTEntry>
                  </c15:dlblFieldTable>
                  <c15:showDataLabelsRange val="0"/>
                </c:ext>
                <c:ext xmlns:c16="http://schemas.microsoft.com/office/drawing/2014/chart" uri="{C3380CC4-5D6E-409C-BE32-E72D297353CC}">
                  <c16:uniqueId val="{00000023-D9AC-414B-836C-9AC0DF7F7AC7}"/>
                </c:ext>
              </c:extLst>
            </c:dLbl>
            <c:dLbl>
              <c:idx val="2"/>
              <c:tx>
                <c:rich>
                  <a:bodyPr/>
                  <a:lstStyle/>
                  <a:p>
                    <a:fld id="{A4D73BB4-289A-4260-BF78-84D5D3FE1C1D}"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{A4D73BB4-289A-4260-BF78-84D5D3FE1C1D}</c15:txfldGUID>
                      <c15:f>'Homes - 2022'!$E$48</c15:f>
                      <c15:dlblFieldTableCache>
                        <c:ptCount val="1"/>
                        <c:pt idx="0">
                          <c:v>37.5%</c:v>
                        </c:pt>
                      </c15:dlblFieldTableCache>
                    </c15:dlblFTEntry>
                  </c15:dlblFieldTable>
                  <c15:showDataLabelsRange val="0"/>
                </c:ext>
                <c:ext xmlns:c16="http://schemas.microsoft.com/office/drawing/2014/chart" uri="{C3380CC4-5D6E-409C-BE32-E72D297353CC}">
                  <c16:uniqueId val="{00000024-D9AC-414B-836C-9AC0DF7F7AC7}"/>
                </c:ext>
              </c:extLst>
            </c:dLbl>
            <c:dLbl>
              <c:idx val="3"/>
              <c:tx>
                <c:rich>
                  <a:bodyPr/>
                  <a:lstStyle/>
                  <a:p>
                    <a:fld id="{EEC3BBBE-668A-4C51-88A3-8429E12C10DD}"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{EEC3BBBE-668A-4C51-88A3-8429E12C10DD}</c15:txfldGUID>
                      <c15:f>'Homes - 2022'!$G$48</c15:f>
                      <c15:dlblFieldTableCache>
                        <c:ptCount val="1"/>
                        <c:pt idx="0">
                          <c:v>13.3%</c:v>
                        </c:pt>
                      </c15:dlblFieldTableCache>
                    </c15:dlblFTEntry>
                  </c15:dlblFieldTable>
                  <c15:showDataLabelsRange val="0"/>
                </c:ext>
                <c:ext xmlns:c16="http://schemas.microsoft.com/office/drawing/2014/chart" uri="{C3380CC4-5D6E-409C-BE32-E72D297353CC}">
                  <c16:uniqueId val="{00000025-D9AC-414B-836C-9AC0DF7F7AC7}"/>
                </c:ext>
              </c:extLst>
            </c:dLbl>
            <c:dLbl>
              <c:idx val="4"/>
              <c:tx>
                <c:rich>
                  <a:bodyPr/>
                  <a:lstStyle/>
                  <a:p>
                    <a:fld id="{48E00CA0-0485-4815-9444-BBD2D9997F11}"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{48E00CA0-0485-4815-9444-BBD2D9997F11}</c15:txfldGUID>
                      <c15:f>'Homes - 2022'!$H$48</c15:f>
                      <c15:dlblFieldTableCache>
                        <c:ptCount val="1"/>
                        <c:pt idx="0">
                          <c:v>27.0%</c:v>
                        </c:pt>
                      </c15:dlblFieldTableCache>
                    </c15:dlblFTEntry>
                  </c15:dlblFieldTable>
                  <c15:showDataLabelsRange val="0"/>
                </c:ext>
                <c:ext xmlns:c16="http://schemas.microsoft.com/office/drawing/2014/chart" uri="{C3380CC4-5D6E-409C-BE32-E72D297353CC}">
                  <c16:uniqueId val="{00000026-D9AC-414B-836C-9AC0DF7F7AC7}"/>
                </c:ext>
              </c:extLst>
            </c:dLbl>
            <c:dLbl>
              <c:idx val="5"/>
              <c:tx>
                <c:rich>
                  <a:bodyPr/>
                  <a:lstStyle/>
                  <a:p>
                    <a:fld id="{47ACD167-86A9-44EA-99AA-F7442FE17E8F}"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{47ACD167-86A9-44EA-99AA-F7442FE17E8F}</c15:txfldGUID>
                      <c15:f>'Homes - 2022'!$I$48</c15:f>
                      <c15:dlblFieldTableCache>
                        <c:ptCount val="1"/>
                        <c:pt idx="0">
                          <c:v>37.5%</c:v>
                        </c:pt>
                      </c15:dlblFieldTableCache>
                    </c15:dlblFTEntry>
                  </c15:dlblFieldTable>
                  <c15:showDataLabelsRange val="0"/>
                </c:ext>
                <c:ext xmlns:c16="http://schemas.microsoft.com/office/drawing/2014/chart" uri="{C3380CC4-5D6E-409C-BE32-E72D297353CC}">
                  <c16:uniqueId val="{00000027-D9AC-414B-836C-9AC0DF7F7AC7}"/>
                </c:ext>
              </c:extLst>
            </c:dLbl>
            <c:dLbl>
              <c:idx val="6"/>
              <c:tx>
                <c:rich>
                  <a:bodyPr/>
                  <a:lstStyle/>
                  <a:p>
                    <a:fld id="{2C4E5E5F-F287-4ECE-9F27-1BC64B0713B3}"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{2C4E5E5F-F287-4ECE-9F27-1BC64B0713B3}</c15:txfldGUID>
                      <c15:f>'Homes - 2022'!$J$48</c15:f>
                      <c15:dlblFieldTableCache>
                        <c:ptCount val="1"/>
                        <c:pt idx="0">
                          <c:v>28.9%</c:v>
                        </c:pt>
                      </c15:dlblFieldTableCache>
                    </c15:dlblFTEntry>
                  </c15:dlblFieldTable>
                  <c15:showDataLabelsRange val="0"/>
                </c:ext>
                <c:ext xmlns:c16="http://schemas.microsoft.com/office/drawing/2014/chart" uri="{C3380CC4-5D6E-409C-BE32-E72D297353CC}">
                  <c16:uniqueId val="{00000028-D9AC-414B-836C-9AC0DF7F7AC7}"/>
                </c:ext>
              </c:extLst>
            </c:dLbl>
            <c:dLbl>
              <c:idx val="7"/>
              <c:tx>
                <c:rich>
                  <a:bodyPr/>
                  <a:lstStyle/>
                  <a:p>
                    <a:fld id="{0EE8F2BE-59A5-47C8-8756-DB3CC2DD1204}"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{0EE8F2BE-59A5-47C8-8756-DB3CC2DD1204}</c15:txfldGUID>
                      <c15:f>'Homes - 2022'!$K$48</c15:f>
                      <c15:dlblFieldTableCache>
                        <c:ptCount val="1"/>
                        <c:pt idx="0">
                          <c:v>43.4%</c:v>
                        </c:pt>
                      </c15:dlblFieldTableCache>
                    </c15:dlblFTEntry>
                  </c15:dlblFieldTable>
                  <c15:showDataLabelsRange val="0"/>
                </c:ext>
                <c:ext xmlns:c16="http://schemas.microsoft.com/office/drawing/2014/chart" uri="{C3380CC4-5D6E-409C-BE32-E72D297353CC}">
                  <c16:uniqueId val="{00000029-D9AC-414B-836C-9AC0DF7F7AC7}"/>
                </c:ext>
              </c:extLst>
            </c:dLbl>
            <c:dLbl>
              <c:idx val="8"/>
              <c:tx>
                <c:rich>
                  <a:bodyPr/>
                  <a:lstStyle/>
                  <a:p>
                    <a:fld id="{474B0120-ECDA-49D2-B624-5E055990CC4A}"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{474B0120-ECDA-49D2-B624-5E055990CC4A}</c15:txfldGUID>
                      <c15:f>'Homes - 2022'!$L$48</c15:f>
                      <c15:dlblFieldTableCache>
                        <c:ptCount val="1"/>
                        <c:pt idx="0">
                          <c:v>54.8%</c:v>
                        </c:pt>
                      </c15:dlblFieldTableCache>
                    </c15:dlblFTEntry>
                  </c15:dlblFieldTable>
                  <c15:showDataLabelsRange val="0"/>
                </c:ext>
                <c:ext xmlns:c16="http://schemas.microsoft.com/office/drawing/2014/chart" uri="{C3380CC4-5D6E-409C-BE32-E72D297353CC}">
                  <c16:uniqueId val="{0000002A-D9AC-414B-836C-9AC0DF7F7AC7}"/>
                </c:ext>
              </c:extLst>
            </c:dLbl>
            <c:dLbl>
              <c:idx val="9"/>
              <c:tx>
                <c:rich>
                  <a:bodyPr/>
                  <a:lstStyle/>
                  <a:p>
                    <a:fld id="{76810623-D244-4855-931B-6F2E1728379D}"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{76810623-D244-4855-931B-6F2E1728379D}</c15:txfldGUID>
                      <c15:f>'Homes - 2022'!$M$48</c15:f>
                      <c15:dlblFieldTableCache>
                        <c:ptCount val="1"/>
                        <c:pt idx="0">
                          <c:v>37.2%</c:v>
                        </c:pt>
                      </c15:dlblFieldTableCache>
                    </c15:dlblFTEntry>
                  </c15:dlblFieldTable>
                  <c15:showDataLabelsRange val="0"/>
                </c:ext>
                <c:ext xmlns:c16="http://schemas.microsoft.com/office/drawing/2014/chart" uri="{C3380CC4-5D6E-409C-BE32-E72D297353CC}">
                  <c16:uniqueId val="{0000002B-D9AC-414B-836C-9AC0DF7F7AC7}"/>
                </c:ext>
              </c:extLst>
            </c:dLbl>
            <c:dLbl>
              <c:idx val="10"/>
              <c:tx>
                <c:rich>
                  <a:bodyPr/>
                  <a:lstStyle/>
                  <a:p>
                    <a:fld id="{09911325-777A-4880-96B6-95C6FDFE779F}"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{09911325-777A-4880-96B6-95C6FDFE779F}</c15:txfldGUID>
                      <c15:f>'Homes - 2022'!$N$48</c15:f>
                      <c15:dlblFieldTableCache>
                        <c:ptCount val="1"/>
                        <c:pt idx="0">
                          <c:v>47.3%</c:v>
                        </c:pt>
                      </c15:dlblFieldTableCache>
                    </c15:dlblFTEntry>
                  </c15:dlblFieldTable>
                  <c15:showDataLabelsRange val="0"/>
                </c:ext>
                <c:ext xmlns:c16="http://schemas.microsoft.com/office/drawing/2014/chart" uri="{C3380CC4-5D6E-409C-BE32-E72D297353CC}">
                  <c16:uniqueId val="{0000002C-D9AC-414B-836C-9AC0DF7F7AC7}"/>
                </c:ext>
              </c:extLst>
            </c:dLbl>
            <c:dLbl>
              <c:idx val="11"/>
              <c:tx>
                <c:rich>
                  <a:bodyPr/>
                  <a:lstStyle/>
                  <a:p>
                    <a:fld id="{2E242CB8-02AF-49B8-AB53-7552EAC3050B}"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{2E242CB8-02AF-49B8-AB53-7552EAC3050B}</c15:txfldGUID>
                      <c15:f>'Homes - 2022'!$O$48</c15:f>
                      <c15:dlblFieldTableCache>
                        <c:ptCount val="1"/>
                        <c:pt idx="0">
                          <c:v>54.8%</c:v>
                        </c:pt>
                      </c15:dlblFieldTableCache>
                    </c15:dlblFTEntry>
                  </c15:dlblFieldTable>
                  <c15:showDataLabelsRange val="0"/>
                </c:ext>
                <c:ext xmlns:c16="http://schemas.microsoft.com/office/drawing/2014/chart" uri="{C3380CC4-5D6E-409C-BE32-E72D297353CC}">
                  <c16:uniqueId val="{0000002D-D9AC-414B-836C-9AC0DF7F7A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- 2022'!$C$47:$O$47</c:f>
              <c:numCache>
                <c:formatCode>#,##0.0</c:formatCode>
                <c:ptCount val="12"/>
                <c:pt idx="0" formatCode="General">
                  <c:v>0</c:v>
                </c:pt>
                <c:pt idx="1">
                  <c:v>1.9990729453287406</c:v>
                </c:pt>
                <c:pt idx="2">
                  <c:v>3.4761401965944545</c:v>
                </c:pt>
                <c:pt idx="3">
                  <c:v>1.2335728040422218</c:v>
                </c:pt>
                <c:pt idx="4">
                  <c:v>2.5053094735330177</c:v>
                </c:pt>
                <c:pt idx="5">
                  <c:v>3.4761401965944545</c:v>
                </c:pt>
                <c:pt idx="6">
                  <c:v>2.675347964422361</c:v>
                </c:pt>
                <c:pt idx="7">
                  <c:v>4.0233594502903829</c:v>
                </c:pt>
                <c:pt idx="8">
                  <c:v>5.07816104755124</c:v>
                </c:pt>
                <c:pt idx="9">
                  <c:v>3.4429797081147564</c:v>
                </c:pt>
                <c:pt idx="10">
                  <c:v>4.3842904886196017</c:v>
                </c:pt>
                <c:pt idx="11">
                  <c:v>5.07816104755124</c:v>
                </c:pt>
              </c:numCache>
            </c:numRef>
          </c:val>
          <c:extLst>
            <c:ext xmlns:c16="http://schemas.microsoft.com/office/drawing/2014/chart" uri="{C3380CC4-5D6E-409C-BE32-E72D297353CC}">
              <c16:uniqueId val="{00000001-D9AC-414B-836C-9AC0DF7F7AC7}"/>
            </c:ext>
          </c:extLst>
        </c:ser>
        <c:dLbls>
          <c:showLegendKey val="0"/>
          <c:showVal val="0"/>
          <c:showCatName val="0"/>
          <c:showSerName val="0"/>
          <c:showPercent val="0"/>
          <c:showBubbleSize val="0"/>
        </c:dLbls>
        <c:gapWidth val="150"/>
        <c:overlap val="100"/>
        <c:axId val="1219553984"/>
        <c:axId val="1219555952"/>
        <c:extLst>
          <c:ext xmlns:c15="http://schemas.microsoft.com/office/drawing/2012/chart" uri="{02D57815-91ED-43cb-92C2-25804820EDAC}">
            <c15:filteredBarSeries>
              <c15:ser>
                <c:idx val="2"/>
                <c:order val="2"/>
                <c:tx>
                  <c:strRef>
                    <c:extLst>
                      <c:ext uri="{02D57815-91ED-43cb-92C2-25804820EDAC}">
                        <c15:formulaRef>
                          <c15:sqref>'Homes - 2022'!$B$48</c15:sqref>
                        </c15:formulaRef>
                      </c:ext>
                    </c:extLst>
                    <c:strCache>
                      <c:ptCount val="1"/>
                    </c:strCache>
                  </c:strRef>
                </c:tx>
                <c:spPr>
                  <a:solidFill>
                    <a:schemeClr val="accent3"/>
                  </a:solidFill>
                  <a:ln>
                    <a:noFill/>
                  </a:ln>
                  <a:effectLst/>
                </c:spPr>
                <c:invertIfNegative val="0"/>
                <c:cat>
                  <c:strRef>
                    <c:extLst>
                      <c:ext uri="{02D57815-91ED-43cb-92C2-25804820EDAC}">
                        <c15:formulaRef>
                          <c15:sqref>'Homes - 2022'!$C$23:$O$23</c15:sqref>
                        </c15:formulaRef>
                      </c:ext>
                    </c:extLst>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extLst>
                      <c:ext uri="{02D57815-91ED-43cb-92C2-25804820EDAC}">
                        <c15:formulaRef>
                          <c15:sqref>'Homes - 2022'!$C$48:$O$48</c15:sqref>
                        </c15:formulaRef>
                      </c:ext>
                    </c:extLst>
                    <c:numCache>
                      <c:formatCode>0.0%</c:formatCode>
                      <c:ptCount val="12"/>
                      <c:pt idx="1">
                        <c:v>0.21577055122209177</c:v>
                      </c:pt>
                      <c:pt idx="2">
                        <c:v>0.37519825782100868</c:v>
                      </c:pt>
                      <c:pt idx="3">
                        <c:v>0.13314605878826558</c:v>
                      </c:pt>
                      <c:pt idx="4">
                        <c:v>0.27041134609385287</c:v>
                      </c:pt>
                      <c:pt idx="5">
                        <c:v>0.37519825782100868</c:v>
                      </c:pt>
                      <c:pt idx="6">
                        <c:v>0.28876450273773557</c:v>
                      </c:pt>
                      <c:pt idx="7">
                        <c:v>0.4342625357330363</c:v>
                      </c:pt>
                      <c:pt idx="8">
                        <c:v>0.54811286951037164</c:v>
                      </c:pt>
                      <c:pt idx="9">
                        <c:v>0.37161907033073849</c:v>
                      </c:pt>
                      <c:pt idx="10">
                        <c:v>0.47321973800793904</c:v>
                      </c:pt>
                      <c:pt idx="11">
                        <c:v>0.54811286951037164</c:v>
                      </c:pt>
                    </c:numCache>
                  </c:numRef>
                </c:val>
                <c:extLst>
                  <c:ext xmlns:c16="http://schemas.microsoft.com/office/drawing/2014/chart" uri="{C3380CC4-5D6E-409C-BE32-E72D297353CC}">
                    <c16:uniqueId val="{00000002-D9AC-414B-836C-9AC0DF7F7AC7}"/>
                  </c:ext>
                </c:extLst>
              </c15:ser>
            </c15:filteredBarSeries>
          </c:ext>
        </c:extLst>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Carbon (tons)</a:t>
                </a:r>
              </a:p>
            </c:rich>
          </c:tx>
          <c:layout>
            <c:manualLayout>
              <c:xMode val="edge"/>
              <c:yMode val="edge"/>
              <c:x val="3.4738467294330888E-2"/>
              <c:y val="0.307550938259680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Peak Heating &amp; Cooling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'Homes - 2022'!$B$50</c:f>
              <c:strCache>
                <c:ptCount val="1"/>
                <c:pt idx="0">
                  <c:v>Peak Heating</c:v>
                </c:pt>
              </c:strCache>
            </c:strRef>
          </c:tx>
          <c:spPr>
            <a:solidFill>
              <a:schemeClr val="accent2"/>
            </a:solidFill>
            <a:ln>
              <a:noFill/>
            </a:ln>
            <a:effectLst/>
          </c:spPr>
          <c:invertIfNegative val="0"/>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- 2022'!$C$50:$O$50</c:f>
              <c:numCache>
                <c:formatCode>#,##0.0</c:formatCode>
                <c:ptCount val="12"/>
                <c:pt idx="0">
                  <c:v>2.8799166666666665</c:v>
                </c:pt>
                <c:pt idx="1">
                  <c:v>2.6130833333333334</c:v>
                </c:pt>
                <c:pt idx="2">
                  <c:v>2.2791666666666668</c:v>
                </c:pt>
                <c:pt idx="3">
                  <c:v>2.4043333333333332</c:v>
                </c:pt>
                <c:pt idx="4">
                  <c:v>2.3777499999999998</c:v>
                </c:pt>
                <c:pt idx="5">
                  <c:v>2.2791666666666668</c:v>
                </c:pt>
                <c:pt idx="6">
                  <c:v>2.8799166666666665</c:v>
                </c:pt>
                <c:pt idx="7">
                  <c:v>2.6130833333333334</c:v>
                </c:pt>
                <c:pt idx="8">
                  <c:v>2.2791666666666668</c:v>
                </c:pt>
                <c:pt idx="9">
                  <c:v>2.4043333333333332</c:v>
                </c:pt>
                <c:pt idx="10">
                  <c:v>2.3777499999999998</c:v>
                </c:pt>
                <c:pt idx="11">
                  <c:v>2.2791666666666668</c:v>
                </c:pt>
              </c:numCache>
            </c:numRef>
          </c:val>
          <c:extLst>
            <c:ext xmlns:c16="http://schemas.microsoft.com/office/drawing/2014/chart" uri="{C3380CC4-5D6E-409C-BE32-E72D297353CC}">
              <c16:uniqueId val="{00000000-8E6C-4BC2-9650-46E7709D111A}"/>
            </c:ext>
          </c:extLst>
        </c:ser>
        <c:ser>
          <c:idx val="1"/>
          <c:order val="1"/>
          <c:tx>
            <c:strRef>
              <c:f>'Homes - 2022'!$B$51</c:f>
              <c:strCache>
                <c:ptCount val="1"/>
                <c:pt idx="0">
                  <c:v>Peak Cooling</c:v>
                </c:pt>
              </c:strCache>
            </c:strRef>
          </c:tx>
          <c:spPr>
            <a:solidFill>
              <a:schemeClr val="accent1"/>
            </a:solidFill>
            <a:ln>
              <a:noFill/>
            </a:ln>
            <a:effectLst/>
          </c:spPr>
          <c:invertIfNegative val="0"/>
          <c:cat>
            <c:strRef>
              <c:f>'Homes - 2022'!$C$23:$O$23</c:f>
              <c:strCache>
                <c:ptCount val="12"/>
                <c:pt idx="0">
                  <c:v>Worst - Existing</c:v>
                </c:pt>
                <c:pt idx="1">
                  <c:v>Mid - Existing</c:v>
                </c:pt>
                <c:pt idx="2">
                  <c:v>Best - Existing</c:v>
                </c:pt>
                <c:pt idx="3">
                  <c:v>Worst - Wx</c:v>
                </c:pt>
                <c:pt idx="4">
                  <c:v>Mid - Wx</c:v>
                </c:pt>
                <c:pt idx="5">
                  <c:v>Best - Wx</c:v>
                </c:pt>
                <c:pt idx="6">
                  <c:v>Worst - Geo</c:v>
                </c:pt>
                <c:pt idx="7">
                  <c:v>Mid - Geo</c:v>
                </c:pt>
                <c:pt idx="8">
                  <c:v>Best - Geo </c:v>
                </c:pt>
                <c:pt idx="9">
                  <c:v>Worst - Geo + Wx</c:v>
                </c:pt>
                <c:pt idx="10">
                  <c:v>Mid - Geo + Wx</c:v>
                </c:pt>
                <c:pt idx="11">
                  <c:v>Best - Geo + Wx</c:v>
                </c:pt>
              </c:strCache>
            </c:strRef>
          </c:cat>
          <c:val>
            <c:numRef>
              <c:f>'Homes - 2022'!$C$51:$O$51</c:f>
              <c:numCache>
                <c:formatCode>#,##0.0</c:formatCode>
                <c:ptCount val="12"/>
                <c:pt idx="0">
                  <c:v>1.93525753107885</c:v>
                </c:pt>
                <c:pt idx="1">
                  <c:v>1.5914437740941252</c:v>
                </c:pt>
                <c:pt idx="2">
                  <c:v>1.4059761807102584</c:v>
                </c:pt>
                <c:pt idx="3">
                  <c:v>1.6979166666666667</c:v>
                </c:pt>
                <c:pt idx="4">
                  <c:v>1.4913333333333334</c:v>
                </c:pt>
                <c:pt idx="5">
                  <c:v>1.4059166666666667</c:v>
                </c:pt>
                <c:pt idx="6">
                  <c:v>1.93525753107885</c:v>
                </c:pt>
                <c:pt idx="7">
                  <c:v>1.5914437740941252</c:v>
                </c:pt>
                <c:pt idx="8">
                  <c:v>1.4059761807102584</c:v>
                </c:pt>
                <c:pt idx="9">
                  <c:v>1.6979166666666667</c:v>
                </c:pt>
                <c:pt idx="10">
                  <c:v>1.4913333333333334</c:v>
                </c:pt>
                <c:pt idx="11">
                  <c:v>1.4059166666666667</c:v>
                </c:pt>
              </c:numCache>
            </c:numRef>
          </c:val>
          <c:extLst>
            <c:ext xmlns:c16="http://schemas.microsoft.com/office/drawing/2014/chart" uri="{C3380CC4-5D6E-409C-BE32-E72D297353CC}">
              <c16:uniqueId val="{0000000F-8E6C-4BC2-9650-46E7709D111A}"/>
            </c:ext>
          </c:extLst>
        </c:ser>
        <c:dLbls>
          <c:showLegendKey val="0"/>
          <c:showVal val="0"/>
          <c:showCatName val="0"/>
          <c:showSerName val="0"/>
          <c:showPercent val="0"/>
          <c:showBubbleSize val="0"/>
        </c:dLbls>
        <c:gapWidth val="150"/>
        <c:overlap val="100"/>
        <c:axId val="1219553984"/>
        <c:axId val="1219555952"/>
        <c:extLst/>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max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Carbon (tons)</a:t>
                </a:r>
              </a:p>
            </c:rich>
          </c:tx>
          <c:layout>
            <c:manualLayout>
              <c:xMode val="edge"/>
              <c:yMode val="edge"/>
              <c:x val="3.4738467294330888E-2"/>
              <c:y val="0.307550938259680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Energy End</a:t>
            </a:r>
            <a:r>
              <a:rPr lang="en-US" baseline="0"/>
              <a:t> Use 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0.10726865354217108"/>
          <c:y val="8.6365407441722844E-2"/>
          <c:w val="0.88024998496339912"/>
          <c:h val="0.62830297381374234"/>
        </c:manualLayout>
      </c:layout>
      <c:barChart>
        <c:barDir val="col"/>
        <c:grouping val="stacked"/>
        <c:varyColors val="0"/>
        <c:ser>
          <c:idx val="0"/>
          <c:order val="0"/>
          <c:tx>
            <c:strRef>
              <c:f>'Homes - 2022'!$B$24</c:f>
              <c:strCache>
                <c:ptCount val="1"/>
                <c:pt idx="0">
                  <c:v>Lighting</c:v>
                </c:pt>
              </c:strCache>
            </c:strRef>
          </c:tx>
          <c:spPr>
            <a:solidFill>
              <a:schemeClr val="accent1"/>
            </a:solidFill>
            <a:ln>
              <a:noFill/>
            </a:ln>
            <a:effectLst/>
          </c:spPr>
          <c:invertIfNegative val="0"/>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- 2022'!$C$24:$O$24</c15:sqref>
                  </c15:fullRef>
                </c:ext>
              </c:extLst>
              <c:f>'Homes - 2022'!$C$24:$I$24</c:f>
              <c:numCache>
                <c:formatCode>#,##0.0</c:formatCode>
                <c:ptCount val="6"/>
                <c:pt idx="0">
                  <c:v>2.8661500990950119</c:v>
                </c:pt>
                <c:pt idx="1">
                  <c:v>2.8661500990950119</c:v>
                </c:pt>
                <c:pt idx="2">
                  <c:v>2.8661500990950119</c:v>
                </c:pt>
                <c:pt idx="3">
                  <c:v>2.8661500990950119</c:v>
                </c:pt>
                <c:pt idx="4">
                  <c:v>2.8661500990950119</c:v>
                </c:pt>
                <c:pt idx="5">
                  <c:v>2.8661500990950119</c:v>
                </c:pt>
              </c:numCache>
            </c:numRef>
          </c:val>
          <c:extLst>
            <c:ext xmlns:c16="http://schemas.microsoft.com/office/drawing/2014/chart" uri="{C3380CC4-5D6E-409C-BE32-E72D297353CC}">
              <c16:uniqueId val="{00000000-1CE8-4B80-8B3A-7CA85B1CB1E0}"/>
            </c:ext>
          </c:extLst>
        </c:ser>
        <c:ser>
          <c:idx val="1"/>
          <c:order val="1"/>
          <c:tx>
            <c:strRef>
              <c:f>'Homes - 2022'!$B$25</c:f>
              <c:strCache>
                <c:ptCount val="1"/>
                <c:pt idx="0">
                  <c:v>Heating</c:v>
                </c:pt>
              </c:strCache>
            </c:strRef>
          </c:tx>
          <c:spPr>
            <a:solidFill>
              <a:schemeClr val="accent2"/>
            </a:solidFill>
            <a:ln>
              <a:noFill/>
            </a:ln>
            <a:effectLst/>
          </c:spPr>
          <c:invertIfNegative val="0"/>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- 2022'!$C$25:$O$25</c15:sqref>
                  </c15:fullRef>
                </c:ext>
              </c:extLst>
              <c:f>'Homes - 2022'!$C$25:$I$25</c:f>
              <c:numCache>
                <c:formatCode>#,##0.0</c:formatCode>
                <c:ptCount val="6"/>
                <c:pt idx="0">
                  <c:v>88.115188996871936</c:v>
                </c:pt>
                <c:pt idx="1">
                  <c:v>68.923565510160216</c:v>
                </c:pt>
                <c:pt idx="2">
                  <c:v>52.937391055182786</c:v>
                </c:pt>
                <c:pt idx="3">
                  <c:v>69.606389837388662</c:v>
                </c:pt>
                <c:pt idx="4">
                  <c:v>60.881324768977294</c:v>
                </c:pt>
                <c:pt idx="5">
                  <c:v>52.937391055182786</c:v>
                </c:pt>
              </c:numCache>
            </c:numRef>
          </c:val>
          <c:extLst>
            <c:ext xmlns:c16="http://schemas.microsoft.com/office/drawing/2014/chart" uri="{C3380CC4-5D6E-409C-BE32-E72D297353CC}">
              <c16:uniqueId val="{00000001-1CE8-4B80-8B3A-7CA85B1CB1E0}"/>
            </c:ext>
          </c:extLst>
        </c:ser>
        <c:ser>
          <c:idx val="2"/>
          <c:order val="2"/>
          <c:tx>
            <c:strRef>
              <c:f>'Homes - 2022'!$B$26</c:f>
              <c:strCache>
                <c:ptCount val="1"/>
                <c:pt idx="0">
                  <c:v>Cooling</c:v>
                </c:pt>
              </c:strCache>
            </c:strRef>
          </c:tx>
          <c:spPr>
            <a:solidFill>
              <a:schemeClr val="accent3"/>
            </a:solidFill>
            <a:ln>
              <a:noFill/>
            </a:ln>
            <a:effectLst/>
          </c:spPr>
          <c:invertIfNegative val="0"/>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- 2022'!$C$26:$O$26</c15:sqref>
                  </c15:fullRef>
                </c:ext>
              </c:extLst>
              <c:f>'Homes - 2022'!$C$26:$I$26</c:f>
              <c:numCache>
                <c:formatCode>#,##0.0</c:formatCode>
                <c:ptCount val="6"/>
                <c:pt idx="0">
                  <c:v>9.9073521335275441</c:v>
                </c:pt>
                <c:pt idx="1">
                  <c:v>6.3249600038205305</c:v>
                </c:pt>
                <c:pt idx="2">
                  <c:v>5.0143866854509413</c:v>
                </c:pt>
                <c:pt idx="3">
                  <c:v>9.0507414217149407</c:v>
                </c:pt>
                <c:pt idx="4">
                  <c:v>6.1511019842880676</c:v>
                </c:pt>
                <c:pt idx="5">
                  <c:v>5.0143866854509413</c:v>
                </c:pt>
              </c:numCache>
            </c:numRef>
          </c:val>
          <c:extLst>
            <c:ext xmlns:c16="http://schemas.microsoft.com/office/drawing/2014/chart" uri="{C3380CC4-5D6E-409C-BE32-E72D297353CC}">
              <c16:uniqueId val="{00000002-1CE8-4B80-8B3A-7CA85B1CB1E0}"/>
            </c:ext>
          </c:extLst>
        </c:ser>
        <c:ser>
          <c:idx val="3"/>
          <c:order val="3"/>
          <c:tx>
            <c:strRef>
              <c:f>'Homes - 2022'!$B$27</c:f>
              <c:strCache>
                <c:ptCount val="1"/>
                <c:pt idx="0">
                  <c:v>Pumps</c:v>
                </c:pt>
              </c:strCache>
            </c:strRef>
          </c:tx>
          <c:spPr>
            <a:solidFill>
              <a:schemeClr val="accent4"/>
            </a:solidFill>
            <a:ln>
              <a:noFill/>
            </a:ln>
            <a:effectLst/>
          </c:spPr>
          <c:invertIfNegative val="0"/>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- 2022'!$C$27:$O$27</c15:sqref>
                  </c15:fullRef>
                </c:ext>
              </c:extLst>
              <c:f>'Homes - 2022'!$C$27:$I$27</c:f>
              <c:numCache>
                <c:formatCode>#,##0.0</c:formatCode>
                <c:ptCount val="6"/>
                <c:pt idx="0">
                  <c:v>1.1222808567539816E-3</c:v>
                </c:pt>
                <c:pt idx="1">
                  <c:v>9.3125432794479335E-4</c:v>
                </c:pt>
                <c:pt idx="2">
                  <c:v>8.2380190548962478E-4</c:v>
                </c:pt>
                <c:pt idx="3">
                  <c:v>1.1222808567539816E-3</c:v>
                </c:pt>
                <c:pt idx="4">
                  <c:v>9.3125432794479335E-4</c:v>
                </c:pt>
                <c:pt idx="5">
                  <c:v>8.2380190548962478E-4</c:v>
                </c:pt>
              </c:numCache>
            </c:numRef>
          </c:val>
          <c:extLst>
            <c:ext xmlns:c16="http://schemas.microsoft.com/office/drawing/2014/chart" uri="{C3380CC4-5D6E-409C-BE32-E72D297353CC}">
              <c16:uniqueId val="{00000003-1CE8-4B80-8B3A-7CA85B1CB1E0}"/>
            </c:ext>
          </c:extLst>
        </c:ser>
        <c:ser>
          <c:idx val="4"/>
          <c:order val="4"/>
          <c:tx>
            <c:strRef>
              <c:f>'Homes - 2022'!$B$28</c:f>
              <c:strCache>
                <c:ptCount val="1"/>
                <c:pt idx="0">
                  <c:v>Fans</c:v>
                </c:pt>
              </c:strCache>
            </c:strRef>
          </c:tx>
          <c:spPr>
            <a:solidFill>
              <a:schemeClr val="accent5"/>
            </a:solidFill>
            <a:ln>
              <a:noFill/>
            </a:ln>
            <a:effectLst/>
          </c:spPr>
          <c:invertIfNegative val="0"/>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- 2022'!$C$28:$O$28</c15:sqref>
                  </c15:fullRef>
                </c:ext>
              </c:extLst>
              <c:f>'Homes - 2022'!$C$28:$I$28</c:f>
              <c:numCache>
                <c:formatCode>#,##0.0</c:formatCode>
                <c:ptCount val="6"/>
                <c:pt idx="0">
                  <c:v>8.9136321306621458</c:v>
                </c:pt>
                <c:pt idx="1">
                  <c:v>6.975823204947587</c:v>
                </c:pt>
                <c:pt idx="2">
                  <c:v>4.9633826022588883</c:v>
                </c:pt>
                <c:pt idx="3">
                  <c:v>7.1969602903603231</c:v>
                </c:pt>
                <c:pt idx="4">
                  <c:v>6.2174837030492611</c:v>
                </c:pt>
                <c:pt idx="5">
                  <c:v>4.9633826022588883</c:v>
                </c:pt>
              </c:numCache>
            </c:numRef>
          </c:val>
          <c:extLst>
            <c:ext xmlns:c16="http://schemas.microsoft.com/office/drawing/2014/chart" uri="{C3380CC4-5D6E-409C-BE32-E72D297353CC}">
              <c16:uniqueId val="{00000004-1CE8-4B80-8B3A-7CA85B1CB1E0}"/>
            </c:ext>
          </c:extLst>
        </c:ser>
        <c:ser>
          <c:idx val="5"/>
          <c:order val="5"/>
          <c:tx>
            <c:strRef>
              <c:f>'Homes - 2022'!$B$29</c:f>
              <c:strCache>
                <c:ptCount val="1"/>
                <c:pt idx="0">
                  <c:v>Receptacles</c:v>
                </c:pt>
              </c:strCache>
            </c:strRef>
          </c:tx>
          <c:spPr>
            <a:solidFill>
              <a:schemeClr val="accent6"/>
            </a:solidFill>
            <a:ln>
              <a:noFill/>
            </a:ln>
            <a:effectLst/>
          </c:spPr>
          <c:invertIfNegative val="0"/>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- 2022'!$C$29:$O$29</c15:sqref>
                  </c15:fullRef>
                </c:ext>
              </c:extLst>
              <c:f>'Homes - 2022'!$C$29:$I$29</c:f>
              <c:numCache>
                <c:formatCode>#,##0.0</c:formatCode>
                <c:ptCount val="6"/>
                <c:pt idx="0">
                  <c:v>10.878924998209127</c:v>
                </c:pt>
                <c:pt idx="1">
                  <c:v>9.6701568805367835</c:v>
                </c:pt>
                <c:pt idx="2">
                  <c:v>8.4613887628644431</c:v>
                </c:pt>
                <c:pt idx="3">
                  <c:v>10.878924998209127</c:v>
                </c:pt>
                <c:pt idx="4">
                  <c:v>9.6701568805367835</c:v>
                </c:pt>
                <c:pt idx="5">
                  <c:v>8.4613887628644431</c:v>
                </c:pt>
              </c:numCache>
            </c:numRef>
          </c:val>
          <c:extLst>
            <c:ext xmlns:c16="http://schemas.microsoft.com/office/drawing/2014/chart" uri="{C3380CC4-5D6E-409C-BE32-E72D297353CC}">
              <c16:uniqueId val="{00000005-1CE8-4B80-8B3A-7CA85B1CB1E0}"/>
            </c:ext>
          </c:extLst>
        </c:ser>
        <c:ser>
          <c:idx val="6"/>
          <c:order val="6"/>
          <c:tx>
            <c:strRef>
              <c:f>'Homes - 2022'!$B$30</c:f>
              <c:strCache>
                <c:ptCount val="1"/>
                <c:pt idx="0">
                  <c:v>DHW</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- 2022'!$C$30:$O$30</c15:sqref>
                  </c15:fullRef>
                </c:ext>
              </c:extLst>
              <c:f>'Homes - 2022'!$C$30:$I$30</c:f>
              <c:numCache>
                <c:formatCode>#,##0.0</c:formatCode>
                <c:ptCount val="6"/>
                <c:pt idx="0">
                  <c:v>9.4609231357004688</c:v>
                </c:pt>
                <c:pt idx="1">
                  <c:v>7.8836648439552039</c:v>
                </c:pt>
                <c:pt idx="2">
                  <c:v>6.9372239069700798</c:v>
                </c:pt>
                <c:pt idx="3">
                  <c:v>9.4599918813725257</c:v>
                </c:pt>
                <c:pt idx="4">
                  <c:v>7.8833305475297877</c:v>
                </c:pt>
                <c:pt idx="5">
                  <c:v>6.9372239069700798</c:v>
                </c:pt>
              </c:numCache>
            </c:numRef>
          </c:val>
          <c:extLst>
            <c:ext xmlns:c16="http://schemas.microsoft.com/office/drawing/2014/chart" uri="{C3380CC4-5D6E-409C-BE32-E72D297353CC}">
              <c16:uniqueId val="{00000006-1CE8-4B80-8B3A-7CA85B1CB1E0}"/>
            </c:ext>
          </c:extLst>
        </c:ser>
        <c:ser>
          <c:idx val="8"/>
          <c:order val="8"/>
          <c:tx>
            <c:strRef>
              <c:f>'Homes - 2022'!$C$32:$C$33</c:f>
              <c:strCache>
                <c:ptCount val="1"/>
                <c:pt idx="0">
                  <c:v>Savings:</c:v>
                </c:pt>
              </c:strCache>
            </c:strRef>
          </c:tx>
          <c:spPr>
            <a:pattFill prst="ltUpDiag">
              <a:fgClr>
                <a:srgbClr val="92D050"/>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1CE8-4B80-8B3A-7CA85B1CB1E0}"/>
                </c:ext>
              </c:extLst>
            </c:dLbl>
            <c:dLbl>
              <c:idx val="1"/>
              <c:tx>
                <c:rich>
                  <a:bodyPr/>
                  <a:lstStyle/>
                  <a:p>
                    <a:r>
                      <a:rPr lang="en-US"/>
                      <a:t>Savings: </a:t>
                    </a:r>
                  </a:p>
                  <a:p>
                    <a:fld id="{A89DFA2B-01A6-4527-922C-B06717877151}"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{A89DFA2B-01A6-4527-922C-B06717877151}</c15:txfldGUID>
                      <c15:f>'Homes - 2022'!$D$33</c15:f>
                      <c15:dlblFieldTableCache>
                        <c:ptCount val="1"/>
                        <c:pt idx="0">
                          <c:v>21.1%</c:v>
                        </c:pt>
                      </c15:dlblFieldTableCache>
                    </c15:dlblFTEntry>
                  </c15:dlblFieldTable>
                  <c15:showDataLabelsRange val="0"/>
                </c:ext>
                <c:ext xmlns:c16="http://schemas.microsoft.com/office/drawing/2014/chart" uri="{C3380CC4-5D6E-409C-BE32-E72D297353CC}">
                  <c16:uniqueId val="{00000008-1CE8-4B80-8B3A-7CA85B1CB1E0}"/>
                </c:ext>
              </c:extLst>
            </c:dLbl>
            <c:dLbl>
              <c:idx val="2"/>
              <c:tx>
                <c:rich>
                  <a:bodyPr/>
                  <a:lstStyle/>
                  <a:p>
                    <a:fld id="{E2F33FE6-3DFC-4C12-8BE8-3D28C611A001}"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{E2F33FE6-3DFC-4C12-8BE8-3D28C611A001}</c15:txfldGUID>
                      <c15:f>'Homes - 2022'!$E$33</c15:f>
                      <c15:dlblFieldTableCache>
                        <c:ptCount val="1"/>
                        <c:pt idx="0">
                          <c:v>37.6%</c:v>
                        </c:pt>
                      </c15:dlblFieldTableCache>
                    </c15:dlblFTEntry>
                  </c15:dlblFieldTable>
                  <c15:showDataLabelsRange val="0"/>
                </c:ext>
                <c:ext xmlns:c16="http://schemas.microsoft.com/office/drawing/2014/chart" uri="{C3380CC4-5D6E-409C-BE32-E72D297353CC}">
                  <c16:uniqueId val="{00000009-1CE8-4B80-8B3A-7CA85B1CB1E0}"/>
                </c:ext>
              </c:extLst>
            </c:dLbl>
            <c:dLbl>
              <c:idx val="3"/>
              <c:tx>
                <c:rich>
                  <a:bodyPr/>
                  <a:lstStyle/>
                  <a:p>
                    <a:fld id="{8CDE5E81-5270-4989-852F-95E88089B158}"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{8CDE5E81-5270-4989-852F-95E88089B158}</c15:txfldGUID>
                      <c15:f>'Homes - 2022'!$F$33</c15:f>
                      <c15:dlblFieldTableCache>
                        <c:ptCount val="1"/>
                        <c:pt idx="0">
                          <c:v>30.6%</c:v>
                        </c:pt>
                      </c15:dlblFieldTableCache>
                    </c15:dlblFTEntry>
                  </c15:dlblFieldTable>
                  <c15:showDataLabelsRange val="0"/>
                </c:ext>
                <c:ext xmlns:c16="http://schemas.microsoft.com/office/drawing/2014/chart" uri="{C3380CC4-5D6E-409C-BE32-E72D297353CC}">
                  <c16:uniqueId val="{0000000A-1CE8-4B80-8B3A-7CA85B1CB1E0}"/>
                </c:ext>
              </c:extLst>
            </c:dLbl>
            <c:dLbl>
              <c:idx val="4"/>
              <c:tx>
                <c:rich>
                  <a:bodyPr/>
                  <a:lstStyle/>
                  <a:p>
                    <a:fld id="{9A93C33C-0D5F-4B4B-B1A0-B5DCD0A4EAA3}"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{9A93C33C-0D5F-4B4B-B1A0-B5DCD0A4EAA3}</c15:txfldGUID>
                      <c15:f>'Homes - 2022'!$H$33</c15:f>
                      <c15:dlblFieldTableCache>
                        <c:ptCount val="1"/>
                        <c:pt idx="0">
                          <c:v>28.0%</c:v>
                        </c:pt>
                      </c15:dlblFieldTableCache>
                    </c15:dlblFTEntry>
                  </c15:dlblFieldTable>
                  <c15:showDataLabelsRange val="0"/>
                </c:ext>
                <c:ext xmlns:c16="http://schemas.microsoft.com/office/drawing/2014/chart" uri="{C3380CC4-5D6E-409C-BE32-E72D297353CC}">
                  <c16:uniqueId val="{0000000B-1CE8-4B80-8B3A-7CA85B1CB1E0}"/>
                </c:ext>
              </c:extLst>
            </c:dLbl>
            <c:dLbl>
              <c:idx val="5"/>
              <c:tx>
                <c:rich>
                  <a:bodyPr/>
                  <a:lstStyle/>
                  <a:p>
                    <a:fld id="{AB766616-3887-47F5-9A6D-3E86B8C3C2C3}"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{AB766616-3887-47F5-9A6D-3E86B8C3C2C3}</c15:txfldGUID>
                      <c15:f>'Homes - 2022'!$I$33</c15:f>
                      <c15:dlblFieldTableCache>
                        <c:ptCount val="1"/>
                        <c:pt idx="0">
                          <c:v>37.6%</c:v>
                        </c:pt>
                      </c15:dlblFieldTableCache>
                    </c15:dlblFTEntry>
                  </c15:dlblFieldTable>
                  <c15:showDataLabelsRange val="0"/>
                </c:ext>
                <c:ext xmlns:c16="http://schemas.microsoft.com/office/drawing/2014/chart" uri="{C3380CC4-5D6E-409C-BE32-E72D297353CC}">
                  <c16:uniqueId val="{0000000C-1CE8-4B80-8B3A-7CA85B1CB1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- 2022'!$C$32:$O$32</c15:sqref>
                  </c15:fullRef>
                </c:ext>
              </c:extLst>
              <c:f>'Homes - 2022'!$C$32:$I$32</c:f>
              <c:numCache>
                <c:formatCode>#,##0.0</c:formatCode>
                <c:ptCount val="6"/>
                <c:pt idx="0" formatCode="General">
                  <c:v>0</c:v>
                </c:pt>
                <c:pt idx="1">
                  <c:v>27.498041978079712</c:v>
                </c:pt>
                <c:pt idx="2">
                  <c:v>48.962546861195364</c:v>
                </c:pt>
                <c:pt idx="3">
                  <c:v>21.083012965925661</c:v>
                </c:pt>
                <c:pt idx="4">
                  <c:v>36.472814537118865</c:v>
                </c:pt>
                <c:pt idx="5">
                  <c:v>48.962546861195364</c:v>
                </c:pt>
              </c:numCache>
            </c:numRef>
          </c:val>
          <c:extLst>
            <c:ext xmlns:c15="http://schemas.microsoft.com/office/drawing/2012/chart" uri="{02D57815-91ED-43cb-92C2-25804820EDAC}">
              <c15:categoryFilterExceptions>
                <c15:categoryFilterException>
                  <c15:sqref>'Homes - 2022'!$J$32</c15:sqref>
                  <c15:dLbl>
                    <c:idx val="5"/>
                    <c:tx>
                      <c:rich>
                        <a:bodyPr/>
                        <a:lstStyle/>
                        <a:p>
                          <a:fld id="{E68FA4E4-1536-4A0A-B39A-4D0E1B01A087}"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{E68FA4E4-1536-4A0A-B39A-4D0E1B01A087}</c15:txfldGUID>
                            <c15:f>'Homes - 2022'!$J$33</c15:f>
                            <c15:dlblFieldTableCache>
                              <c:ptCount val="1"/>
                              <c:pt idx="0">
                                <c:v>61.8%</c:v>
                              </c:pt>
                            </c15:dlblFieldTableCache>
                          </c15:dlblFTEntry>
                        </c15:dlblFieldTable>
                        <c15:showDataLabelsRange val="0"/>
                      </c:ext>
                      <c:ext xmlns:c16="http://schemas.microsoft.com/office/drawing/2014/chart" uri="{C3380CC4-5D6E-409C-BE32-E72D297353CC}">
                        <c16:uniqueId val="{00000000-4325-4CD3-A668-30D3D203FBFF}"/>
                      </c:ext>
                    </c:extLst>
                  </c15:dLbl>
                </c15:categoryFilterException>
                <c15:categoryFilterException>
                  <c15:sqref>'Homes - 2022'!$K$32</c15:sqref>
                  <c15:dLbl>
                    <c:idx val="5"/>
                    <c:tx>
                      <c:rich>
                        <a:bodyPr/>
                        <a:lstStyle/>
                        <a:p>
                          <a:fld id="{9F560FC2-3F34-47F3-9EFA-DEF5901E9857}"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{9F560FC2-3F34-47F3-9EFA-DEF5901E9857}</c15:txfldGUID>
                            <c15:f>'Homes - 2022'!$K$33</c15:f>
                            <c15:dlblFieldTableCache>
                              <c:ptCount val="1"/>
                              <c:pt idx="0">
                                <c:v>69.1%</c:v>
                              </c:pt>
                            </c15:dlblFieldTableCache>
                          </c15:dlblFTEntry>
                        </c15:dlblFieldTable>
                        <c15:showDataLabelsRange val="0"/>
                      </c:ext>
                      <c:ext xmlns:c16="http://schemas.microsoft.com/office/drawing/2014/chart" uri="{C3380CC4-5D6E-409C-BE32-E72D297353CC}">
                        <c16:uniqueId val="{00000001-4325-4CD3-A668-30D3D203FBFF}"/>
                      </c:ext>
                    </c:extLst>
                  </c15:dLbl>
                </c15:categoryFilterException>
                <c15:categoryFilterException>
                  <c15:sqref>'Homes - 2022'!$L$32</c15:sqref>
                  <c15:dLbl>
                    <c:idx val="5"/>
                    <c:tx>
                      <c:rich>
                        <a:bodyPr/>
                        <a:lstStyle/>
                        <a:p>
                          <a:fld id="{A3E8C0EE-10BB-4359-9EF1-551F6FEF2682}"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{A3E8C0EE-10BB-4359-9EF1-551F6FEF2682}</c15:txfldGUID>
                            <c15:f>'Homes - 2022'!$L$33</c15:f>
                            <c15:dlblFieldTableCache>
                              <c:ptCount val="1"/>
                              <c:pt idx="0">
                                <c:v>74.7%</c:v>
                              </c:pt>
                            </c15:dlblFieldTableCache>
                          </c15:dlblFTEntry>
                        </c15:dlblFieldTable>
                        <c15:showDataLabelsRange val="0"/>
                      </c:ext>
                      <c:ext xmlns:c16="http://schemas.microsoft.com/office/drawing/2014/chart" uri="{C3380CC4-5D6E-409C-BE32-E72D297353CC}">
                        <c16:uniqueId val="{00000002-4325-4CD3-A668-30D3D203FBFF}"/>
                      </c:ext>
                    </c:extLst>
                  </c15:dLbl>
                </c15:categoryFilterException>
                <c15:categoryFilterException>
                  <c15:sqref>'Homes - 2022'!$M$32</c15:sqref>
                  <c15:dLbl>
                    <c:idx val="5"/>
                    <c:tx>
                      <c:rich>
                        <a:bodyPr/>
                        <a:lstStyle/>
                        <a:p>
                          <a:fld id="{1750F49A-7E97-4502-95CB-4706EC2A5BD5}"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{1750F49A-7E97-4502-95CB-4706EC2A5BD5}</c15:txfldGUID>
                            <c15:f>'Homes - 2022'!$M$33</c15:f>
                            <c15:dlblFieldTableCache>
                              <c:ptCount val="1"/>
                              <c:pt idx="0">
                                <c:v>65.5%</c:v>
                              </c:pt>
                            </c15:dlblFieldTableCache>
                          </c15:dlblFTEntry>
                        </c15:dlblFieldTable>
                        <c15:showDataLabelsRange val="0"/>
                      </c:ext>
                      <c:ext xmlns:c16="http://schemas.microsoft.com/office/drawing/2014/chart" uri="{C3380CC4-5D6E-409C-BE32-E72D297353CC}">
                        <c16:uniqueId val="{00000003-4325-4CD3-A668-30D3D203FBFF}"/>
                      </c:ext>
                    </c:extLst>
                  </c15:dLbl>
                </c15:categoryFilterException>
                <c15:categoryFilterException>
                  <c15:sqref>'Homes - 2022'!$N$32</c15:sqref>
                  <c15:dLbl>
                    <c:idx val="5"/>
                    <c:tx>
                      <c:rich>
                        <a:bodyPr/>
                        <a:lstStyle/>
                        <a:p>
                          <a:fld id="{FB783ED0-B82E-42FF-996C-8AEDA9BAC358}"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{FB783ED0-B82E-42FF-996C-8AEDA9BAC358}</c15:txfldGUID>
                            <c15:f>'Homes - 2022'!$N$33</c15:f>
                            <c15:dlblFieldTableCache>
                              <c:ptCount val="1"/>
                              <c:pt idx="0">
                                <c:v>70.9%</c:v>
                              </c:pt>
                            </c15:dlblFieldTableCache>
                          </c15:dlblFTEntry>
                        </c15:dlblFieldTable>
                        <c15:showDataLabelsRange val="0"/>
                      </c:ext>
                      <c:ext xmlns:c16="http://schemas.microsoft.com/office/drawing/2014/chart" uri="{C3380CC4-5D6E-409C-BE32-E72D297353CC}">
                        <c16:uniqueId val="{00000004-4325-4CD3-A668-30D3D203FBFF}"/>
                      </c:ext>
                    </c:extLst>
                  </c15:dLbl>
                </c15:categoryFilterException>
                <c15:categoryFilterException>
                  <c15:sqref>'Homes - 2022'!$O$32</c15:sqref>
                  <c15:dLbl>
                    <c:idx val="5"/>
                    <c:tx>
                      <c:rich>
                        <a:bodyPr/>
                        <a:lstStyle/>
                        <a:p>
                          <a:fld id="{C77912C2-12E9-4262-88C5-DDA9C207A036}"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{C77912C2-12E9-4262-88C5-DDA9C207A036}</c15:txfldGUID>
                            <c15:f>'Homes - 2022'!$O$33</c15:f>
                            <c15:dlblFieldTableCache>
                              <c:ptCount val="1"/>
                              <c:pt idx="0">
                                <c:v>74.7%</c:v>
                              </c:pt>
                            </c15:dlblFieldTableCache>
                          </c15:dlblFTEntry>
                        </c15:dlblFieldTable>
                        <c15:showDataLabelsRange val="0"/>
                      </c:ext>
                      <c:ext xmlns:c16="http://schemas.microsoft.com/office/drawing/2014/chart" uri="{C3380CC4-5D6E-409C-BE32-E72D297353CC}">
                        <c16:uniqueId val="{00000005-4325-4CD3-A668-30D3D203FBFF}"/>
                      </c:ext>
                    </c:extLst>
                  </c15:dLbl>
                </c15:categoryFilterException>
              </c15:categoryFilterExceptions>
            </c:ext>
            <c:ext xmlns:c16="http://schemas.microsoft.com/office/drawing/2014/chart" uri="{C3380CC4-5D6E-409C-BE32-E72D297353CC}">
              <c16:uniqueId val="{00000013-1CE8-4B80-8B3A-7CA85B1CB1E0}"/>
            </c:ext>
          </c:extLst>
        </c:ser>
        <c:dLbls>
          <c:showLegendKey val="0"/>
          <c:showVal val="0"/>
          <c:showCatName val="0"/>
          <c:showSerName val="0"/>
          <c:showPercent val="0"/>
          <c:showBubbleSize val="0"/>
        </c:dLbls>
        <c:gapWidth val="150"/>
        <c:overlap val="100"/>
        <c:axId val="1219553984"/>
        <c:axId val="1219555952"/>
        <c:extLst>
          <c:ext xmlns:c15="http://schemas.microsoft.com/office/drawing/2012/chart" uri="{02D57815-91ED-43cb-92C2-25804820EDAC}">
            <c15:filteredBarSeries>
              <c15:ser>
                <c:idx val="7"/>
                <c:order val="7"/>
                <c:tx>
                  <c:strRef>
                    <c:extLst>
                      <c:ext uri="{02D57815-91ED-43cb-92C2-25804820EDAC}">
                        <c15:formulaRef>
                          <c15:sqref>'Homes - 2022'!$B$31</c15:sqref>
                        </c15:formulaRef>
                      </c:ext>
                    </c:extLst>
                    <c:strCache>
                      <c:ptCount val="1"/>
                      <c:pt idx="0">
                        <c:v>EUI</c:v>
                      </c:pt>
                    </c:strCache>
                  </c:strRef>
                </c:tx>
                <c:spPr>
                  <a:pattFill prst="ltUpDiag">
                    <a:fgClr>
                      <a:schemeClr val="accent3"/>
                    </a:fgClr>
                    <a:bgClr>
                      <a:schemeClr val="bg1"/>
                    </a:bgClr>
                  </a:pattFill>
                  <a:ln>
                    <a:noFill/>
                  </a:ln>
                  <a:effectLst/>
                </c:spPr>
                <c:invertIfNegative val="0"/>
                <c:dLbls>
                  <c:dLbl>
                    <c:idx val="0"/>
                    <c:tx>
                      <c:rich>
                        <a:bodyPr/>
                        <a:lstStyle/>
                        <a:p>
                          <a:fld id="{EFF9891E-E937-447C-96D0-A8F63E6FDEF2}"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4-1CE8-4B80-8B3A-7CA85B1CB1E0}"/>
                      </c:ext>
                    </c:extLst>
                  </c:dLbl>
                  <c:dLbl>
                    <c:idx val="1"/>
                    <c:tx>
                      <c:rich>
                        <a:bodyPr/>
                        <a:lstStyle/>
                        <a:p>
                          <a:fld id="{27EA038A-7333-41C0-BF2E-B207BBCDBC61}"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5-1CE8-4B80-8B3A-7CA85B1CB1E0}"/>
                      </c:ext>
                    </c:extLst>
                  </c:dLbl>
                  <c:dLbl>
                    <c:idx val="2"/>
                    <c:tx>
                      <c:rich>
                        <a:bodyPr/>
                        <a:lstStyle/>
                        <a:p>
                          <a:fld id="{A3C00345-A352-4C97-AD53-91080DF624EE}"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6-1CE8-4B80-8B3A-7CA85B1CB1E0}"/>
                      </c:ext>
                    </c:extLst>
                  </c:dLbl>
                  <c:dLbl>
                    <c:idx val="3"/>
                    <c:tx>
                      <c:rich>
                        <a:bodyPr/>
                        <a:lstStyle/>
                        <a:p>
                          <a:fld id="{4FDFBFA0-F7AA-40A4-A854-0EA917B337F9}"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7-1CE8-4B80-8B3A-7CA85B1CB1E0}"/>
                      </c:ext>
                    </c:extLst>
                  </c:dLbl>
                  <c:dLbl>
                    <c:idx val="4"/>
                    <c:tx>
                      <c:rich>
                        <a:bodyPr/>
                        <a:lstStyle/>
                        <a:p>
                          <a:fld id="{64938AAC-15F5-4417-926C-01308F5BB638}"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8-1CE8-4B80-8B3A-7CA85B1CB1E0}"/>
                      </c:ext>
                    </c:extLst>
                  </c:dLbl>
                  <c:dLbl>
                    <c:idx val="5"/>
                    <c:tx>
                      <c:rich>
                        <a:bodyPr/>
                        <a:lstStyle/>
                        <a:p>
                          <a:fld id="{1A8CCB99-C02E-430A-A80F-BAE377EC48FF}"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9-1CE8-4B80-8B3A-7CA85B1CB1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ct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'Homes - 2022'!$C$23:$O$23</c15:sqref>
                        </c15:fullRef>
                        <c15:formulaRef>
                          <c15:sqref>'Homes - 2022'!$C$23:$I$23</c15:sqref>
                        </c15:formulaRef>
                      </c:ext>
                    </c:extLst>
                    <c:strCache>
                      <c:ptCount val="6"/>
                      <c:pt idx="0">
                        <c:v>Worst - Existing</c:v>
                      </c:pt>
                      <c:pt idx="1">
                        <c:v>Mid - Existing</c:v>
                      </c:pt>
                      <c:pt idx="2">
                        <c:v>Best - Existing</c:v>
                      </c:pt>
                      <c:pt idx="3">
                        <c:v>Worst - Wx</c:v>
                      </c:pt>
                      <c:pt idx="4">
                        <c:v>Mid - Wx</c:v>
                      </c:pt>
                      <c:pt idx="5">
                        <c:v>Best - Wx</c:v>
                      </c:pt>
                    </c:strCache>
                  </c:strRef>
                </c:cat>
                <c:val>
                  <c:numRef>
                    <c:extLst>
                      <c:ext uri="{02D57815-91ED-43cb-92C2-25804820EDAC}">
                        <c15:fullRef>
                          <c15:sqref>'Homes - 2022'!$C$31:$O$31</c15:sqref>
                        </c15:fullRef>
                        <c15:formulaRef>
                          <c15:sqref>'Homes - 2022'!$C$31:$I$31</c15:sqref>
                        </c15:formulaRef>
                      </c:ext>
                    </c:extLst>
                    <c:numCache>
                      <c:formatCode>#,##0.0</c:formatCode>
                      <c:ptCount val="6"/>
                      <c:pt idx="0">
                        <c:v>130.14329377492299</c:v>
                      </c:pt>
                      <c:pt idx="1">
                        <c:v>102.64525179684328</c:v>
                      </c:pt>
                      <c:pt idx="2">
                        <c:v>81.180746913727631</c:v>
                      </c:pt>
                      <c:pt idx="3">
                        <c:v>109.06028080899733</c:v>
                      </c:pt>
                      <c:pt idx="4">
                        <c:v>93.67047923780413</c:v>
                      </c:pt>
                      <c:pt idx="5">
                        <c:v>81.180746913727631</c:v>
                      </c:pt>
                    </c:numCache>
                  </c:numRef>
                </c:val>
                <c:extLst>
                  <c:ext uri="{02D57815-91ED-43cb-92C2-25804820EDAC}">
                    <c15:datalabelsRange>
                      <c15:f>'DB-End Use'!$C$16:$N$16</c15:f>
                      <c15:dlblRangeCache>
                        <c:ptCount val="9"/>
                        <c:pt idx="1">
                          <c:v>Energy Savings: 21%</c:v>
                        </c:pt>
                        <c:pt idx="2">
                          <c:v>Energy Savings: 38%</c:v>
                        </c:pt>
                        <c:pt idx="3">
                          <c:v>Energy Savings: 31%</c:v>
                        </c:pt>
                        <c:pt idx="4">
                          <c:v>Energy Savings: 16%</c:v>
                        </c:pt>
                        <c:pt idx="5">
                          <c:v>Energy Savings: 28%</c:v>
                        </c:pt>
                        <c:pt idx="6">
                          <c:v>Energy Savings: 38%</c:v>
                        </c:pt>
                        <c:pt idx="7">
                          <c:v>Energy Savings: 62%</c:v>
                        </c:pt>
                        <c:pt idx="8">
                          <c:v>Energy Savings: 69%</c:v>
                        </c:pt>
                      </c15:dlblRangeCache>
                    </c15:datalabelsRange>
                  </c:ext>
                  <c:ext xmlns:c16="http://schemas.microsoft.com/office/drawing/2014/chart" uri="{C3380CC4-5D6E-409C-BE32-E72D297353CC}">
                    <c16:uniqueId val="{00000020-1CE8-4B80-8B3A-7CA85B1CB1E0}"/>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'Homes - 2022'!$B$33</c15:sqref>
                        </c15:formulaRef>
                      </c:ext>
                    </c:extLst>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'Homes - 2022'!$C$23:$O$23</c15:sqref>
                        </c15:fullRef>
                        <c15:formulaRef>
                          <c15:sqref>'Homes - 2022'!$C$23:$I$23</c15:sqref>
                        </c15:formulaRef>
                      </c:ext>
                    </c:extLst>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- 2022'!$C$33:$O$33</c15:sqref>
                        </c15:fullRef>
                        <c15:formulaRef>
                          <c15:sqref>'Homes - 2022'!$C$33:$I$33</c15:sqref>
                        </c15:formulaRef>
                      </c:ext>
                    </c:extLst>
                    <c:numCache>
                      <c:formatCode>0.0%</c:formatCode>
                      <c:ptCount val="6"/>
                      <c:pt idx="1">
                        <c:v>0.21129050280252126</c:v>
                      </c:pt>
                      <c:pt idx="2">
                        <c:v>0.3762202833583872</c:v>
                      </c:pt>
                      <c:pt idx="3">
                        <c:v>0.16199845842527849</c:v>
                      </c:pt>
                      <c:pt idx="4">
                        <c:v>0.28025120218792809</c:v>
                      </c:pt>
                      <c:pt idx="5">
                        <c:v>0.3762202833583872</c:v>
                      </c:pt>
                    </c:numCache>
                  </c:numRef>
                </c:val>
                <c:extLst xmlns:c15="http://schemas.microsoft.com/office/drawing/2012/chart">
                  <c:ext xmlns:c16="http://schemas.microsoft.com/office/drawing/2014/chart" uri="{C3380CC4-5D6E-409C-BE32-E72D297353CC}">
                    <c16:uniqueId val="{00000021-1CE8-4B80-8B3A-7CA85B1CB1E0}"/>
                  </c:ext>
                </c:extLst>
              </c15:ser>
            </c15:filteredBarSeries>
          </c:ext>
        </c:extLst>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Energy Use Intensity (kBtu/ft</a:t>
                </a:r>
                <a:r>
                  <a:rPr lang="en-US" baseline="30000"/>
                  <a:t>2</a:t>
                </a:r>
                <a:r>
                  <a:rPr lang="en-US"/>
                  <a:t>/yr)</a:t>
                </a:r>
              </a:p>
            </c:rich>
          </c:tx>
          <c:layout>
            <c:manualLayout>
              <c:xMode val="edge"/>
              <c:yMode val="edge"/>
              <c:x val="5.4158596352143373E-2"/>
              <c:y val="0.172719945439890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Energy Cost </a:t>
            </a:r>
            <a:r>
              <a:rPr lang="en-US" baseline="0"/>
              <a:t>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'Homes - 2022'!$B$35</c:f>
              <c:strCache>
                <c:ptCount val="1"/>
                <c:pt idx="0">
                  <c:v>Lighting</c:v>
                </c:pt>
              </c:strCache>
            </c:strRef>
          </c:tx>
          <c:spPr>
            <a:solidFill>
              <a:schemeClr val="accent1"/>
            </a:solidFill>
            <a:ln>
              <a:noFill/>
            </a:ln>
            <a:effectLst/>
          </c:spPr>
          <c:invertIfNegative val="0"/>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- 2022'!$C$35:$O$35</c15:sqref>
                  </c15:fullRef>
                </c:ext>
              </c:extLst>
              <c:f>'Homes - 2022'!$C$35:$I$35</c:f>
              <c:numCache>
                <c:formatCode>"$"#,##0</c:formatCode>
                <c:ptCount val="6"/>
                <c:pt idx="0">
                  <c:v>138.06258623718887</c:v>
                </c:pt>
                <c:pt idx="1">
                  <c:v>138.06258623718887</c:v>
                </c:pt>
                <c:pt idx="2">
                  <c:v>138.06258623718887</c:v>
                </c:pt>
                <c:pt idx="3">
                  <c:v>138.06258623718887</c:v>
                </c:pt>
                <c:pt idx="4">
                  <c:v>138.06258623718887</c:v>
                </c:pt>
                <c:pt idx="5">
                  <c:v>138.06258623718887</c:v>
                </c:pt>
              </c:numCache>
            </c:numRef>
          </c:val>
          <c:extLst>
            <c:ext xmlns:c16="http://schemas.microsoft.com/office/drawing/2014/chart" uri="{C3380CC4-5D6E-409C-BE32-E72D297353CC}">
              <c16:uniqueId val="{00000000-FE36-483D-B835-5DF61B81A50C}"/>
            </c:ext>
          </c:extLst>
        </c:ser>
        <c:ser>
          <c:idx val="1"/>
          <c:order val="1"/>
          <c:tx>
            <c:strRef>
              <c:f>'Homes - 2022'!$B$36</c:f>
              <c:strCache>
                <c:ptCount val="1"/>
                <c:pt idx="0">
                  <c:v>Heating</c:v>
                </c:pt>
              </c:strCache>
            </c:strRef>
          </c:tx>
          <c:spPr>
            <a:solidFill>
              <a:schemeClr val="accent2"/>
            </a:solidFill>
            <a:ln>
              <a:noFill/>
            </a:ln>
            <a:effectLst/>
          </c:spPr>
          <c:invertIfNegative val="0"/>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- 2022'!$C$36:$O$36</c15:sqref>
                  </c15:fullRef>
                </c:ext>
              </c:extLst>
              <c:f>'Homes - 2022'!$C$36:$I$36</c:f>
              <c:numCache>
                <c:formatCode>"$"#,##0</c:formatCode>
                <c:ptCount val="6"/>
                <c:pt idx="0">
                  <c:v>583.03358766859344</c:v>
                </c:pt>
                <c:pt idx="1">
                  <c:v>456.0479768786127</c:v>
                </c:pt>
                <c:pt idx="2">
                  <c:v>350.27192678227362</c:v>
                </c:pt>
                <c:pt idx="3">
                  <c:v>460.5660346820809</c:v>
                </c:pt>
                <c:pt idx="4">
                  <c:v>402.83471676300582</c:v>
                </c:pt>
                <c:pt idx="5">
                  <c:v>350.27192678227362</c:v>
                </c:pt>
              </c:numCache>
            </c:numRef>
          </c:val>
          <c:extLst>
            <c:ext xmlns:c16="http://schemas.microsoft.com/office/drawing/2014/chart" uri="{C3380CC4-5D6E-409C-BE32-E72D297353CC}">
              <c16:uniqueId val="{00000001-FE36-483D-B835-5DF61B81A50C}"/>
            </c:ext>
          </c:extLst>
        </c:ser>
        <c:ser>
          <c:idx val="2"/>
          <c:order val="2"/>
          <c:tx>
            <c:strRef>
              <c:f>'Homes - 2022'!$B$37</c:f>
              <c:strCache>
                <c:ptCount val="1"/>
                <c:pt idx="0">
                  <c:v>Cooling</c:v>
                </c:pt>
              </c:strCache>
            </c:strRef>
          </c:tx>
          <c:spPr>
            <a:solidFill>
              <a:schemeClr val="accent3"/>
            </a:solidFill>
            <a:ln>
              <a:noFill/>
            </a:ln>
            <a:effectLst/>
          </c:spPr>
          <c:invertIfNegative val="0"/>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- 2022'!$C$37:$O$37</c15:sqref>
                  </c15:fullRef>
                </c:ext>
              </c:extLst>
              <c:f>'Homes - 2022'!$C$37:$I$37</c:f>
              <c:numCache>
                <c:formatCode>"$"#,##0</c:formatCode>
                <c:ptCount val="6"/>
                <c:pt idx="0">
                  <c:v>477.23762225475843</c:v>
                </c:pt>
                <c:pt idx="1">
                  <c:v>304.67362342606145</c:v>
                </c:pt>
                <c:pt idx="2">
                  <c:v>241.5432445095168</c:v>
                </c:pt>
                <c:pt idx="3">
                  <c:v>435.9746436310395</c:v>
                </c:pt>
                <c:pt idx="4">
                  <c:v>296.29887437774522</c:v>
                </c:pt>
                <c:pt idx="5">
                  <c:v>241.5432445095168</c:v>
                </c:pt>
              </c:numCache>
            </c:numRef>
          </c:val>
          <c:extLst>
            <c:ext xmlns:c16="http://schemas.microsoft.com/office/drawing/2014/chart" uri="{C3380CC4-5D6E-409C-BE32-E72D297353CC}">
              <c16:uniqueId val="{00000002-FE36-483D-B835-5DF61B81A50C}"/>
            </c:ext>
          </c:extLst>
        </c:ser>
        <c:ser>
          <c:idx val="3"/>
          <c:order val="3"/>
          <c:tx>
            <c:strRef>
              <c:f>'Homes - 2022'!$B$38</c:f>
              <c:strCache>
                <c:ptCount val="1"/>
                <c:pt idx="0">
                  <c:v>Pumps</c:v>
                </c:pt>
              </c:strCache>
            </c:strRef>
          </c:tx>
          <c:spPr>
            <a:solidFill>
              <a:schemeClr val="accent4"/>
            </a:solidFill>
            <a:ln>
              <a:noFill/>
            </a:ln>
            <a:effectLst/>
          </c:spPr>
          <c:invertIfNegative val="0"/>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- 2022'!$C$38:$O$38</c15:sqref>
                  </c15:fullRef>
                </c:ext>
              </c:extLst>
              <c:f>'Homes - 2022'!$C$38:$I$38</c:f>
              <c:numCache>
                <c:formatCode>"$"#,##0</c:formatCode>
                <c:ptCount val="6"/>
                <c:pt idx="0">
                  <c:v>5.4060322108345528E-2</c:v>
                </c:pt>
                <c:pt idx="1">
                  <c:v>4.4858565153733522E-2</c:v>
                </c:pt>
                <c:pt idx="2">
                  <c:v>3.9682576866764269E-2</c:v>
                </c:pt>
                <c:pt idx="3">
                  <c:v>5.4060322108345528E-2</c:v>
                </c:pt>
                <c:pt idx="4">
                  <c:v>4.4858565153733522E-2</c:v>
                </c:pt>
                <c:pt idx="5">
                  <c:v>3.9682576866764269E-2</c:v>
                </c:pt>
              </c:numCache>
            </c:numRef>
          </c:val>
          <c:extLst>
            <c:ext xmlns:c16="http://schemas.microsoft.com/office/drawing/2014/chart" uri="{C3380CC4-5D6E-409C-BE32-E72D297353CC}">
              <c16:uniqueId val="{00000003-FE36-483D-B835-5DF61B81A50C}"/>
            </c:ext>
          </c:extLst>
        </c:ser>
        <c:ser>
          <c:idx val="4"/>
          <c:order val="4"/>
          <c:tx>
            <c:strRef>
              <c:f>'Homes - 2022'!$B$39</c:f>
              <c:strCache>
                <c:ptCount val="1"/>
                <c:pt idx="0">
                  <c:v>Fans</c:v>
                </c:pt>
              </c:strCache>
            </c:strRef>
          </c:tx>
          <c:spPr>
            <a:solidFill>
              <a:schemeClr val="accent5"/>
            </a:solidFill>
            <a:ln>
              <a:noFill/>
            </a:ln>
            <a:effectLst/>
          </c:spPr>
          <c:invertIfNegative val="0"/>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- 2022'!$C$39:$O$39</c15:sqref>
                  </c15:fullRef>
                </c:ext>
              </c:extLst>
              <c:f>'Homes - 2022'!$C$39:$I$39</c:f>
              <c:numCache>
                <c:formatCode>"$"#,##0</c:formatCode>
                <c:ptCount val="6"/>
                <c:pt idx="0">
                  <c:v>429.37008257686671</c:v>
                </c:pt>
                <c:pt idx="1">
                  <c:v>336.02573469985356</c:v>
                </c:pt>
                <c:pt idx="2">
                  <c:v>239.08637540263538</c:v>
                </c:pt>
                <c:pt idx="3">
                  <c:v>346.67791859443628</c:v>
                </c:pt>
                <c:pt idx="4">
                  <c:v>299.49648491947289</c:v>
                </c:pt>
                <c:pt idx="5">
                  <c:v>239.08637540263538</c:v>
                </c:pt>
              </c:numCache>
            </c:numRef>
          </c:val>
          <c:extLst>
            <c:ext xmlns:c16="http://schemas.microsoft.com/office/drawing/2014/chart" uri="{C3380CC4-5D6E-409C-BE32-E72D297353CC}">
              <c16:uniqueId val="{00000004-FE36-483D-B835-5DF61B81A50C}"/>
            </c:ext>
          </c:extLst>
        </c:ser>
        <c:ser>
          <c:idx val="5"/>
          <c:order val="5"/>
          <c:tx>
            <c:strRef>
              <c:f>'Homes - 2022'!$B$40</c:f>
              <c:strCache>
                <c:ptCount val="1"/>
                <c:pt idx="0">
                  <c:v>Receptacles</c:v>
                </c:pt>
              </c:strCache>
            </c:strRef>
          </c:tx>
          <c:spPr>
            <a:solidFill>
              <a:schemeClr val="accent6"/>
            </a:solidFill>
            <a:ln>
              <a:noFill/>
            </a:ln>
            <a:effectLst/>
          </c:spPr>
          <c:invertIfNegative val="0"/>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- 2022'!$C$40:$O$40</c15:sqref>
                  </c15:fullRef>
                </c:ext>
              </c:extLst>
              <c:f>'Homes - 2022'!$C$40:$I$40</c:f>
              <c:numCache>
                <c:formatCode>"$"#,##0</c:formatCode>
                <c:ptCount val="6"/>
                <c:pt idx="0">
                  <c:v>423.58165994634345</c:v>
                </c:pt>
                <c:pt idx="1">
                  <c:v>365.35524237679732</c:v>
                </c:pt>
                <c:pt idx="2">
                  <c:v>307.12882480725119</c:v>
                </c:pt>
                <c:pt idx="3">
                  <c:v>423.58165994634345</c:v>
                </c:pt>
                <c:pt idx="4">
                  <c:v>365.35524237679732</c:v>
                </c:pt>
                <c:pt idx="5">
                  <c:v>307.12882480725119</c:v>
                </c:pt>
              </c:numCache>
            </c:numRef>
          </c:val>
          <c:extLst>
            <c:ext xmlns:c16="http://schemas.microsoft.com/office/drawing/2014/chart" uri="{C3380CC4-5D6E-409C-BE32-E72D297353CC}">
              <c16:uniqueId val="{00000005-FE36-483D-B835-5DF61B81A50C}"/>
            </c:ext>
          </c:extLst>
        </c:ser>
        <c:ser>
          <c:idx val="6"/>
          <c:order val="6"/>
          <c:tx>
            <c:strRef>
              <c:f>'Homes - 2022'!$B$41</c:f>
              <c:strCache>
                <c:ptCount val="1"/>
                <c:pt idx="0">
                  <c:v>DHW</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- 2022'!$C$41:$O$41</c15:sqref>
                  </c15:fullRef>
                </c:ext>
              </c:extLst>
              <c:f>'Homes - 2022'!$C$41:$I$41</c:f>
              <c:numCache>
                <c:formatCode>"$"#,##0</c:formatCode>
                <c:ptCount val="6"/>
                <c:pt idx="0">
                  <c:v>62.600285163776491</c:v>
                </c:pt>
                <c:pt idx="1">
                  <c:v>52.164007707129095</c:v>
                </c:pt>
                <c:pt idx="2">
                  <c:v>45.901672447013482</c:v>
                </c:pt>
                <c:pt idx="3">
                  <c:v>62.594123314065513</c:v>
                </c:pt>
                <c:pt idx="4">
                  <c:v>52.161795761078999</c:v>
                </c:pt>
                <c:pt idx="5">
                  <c:v>45.901672447013482</c:v>
                </c:pt>
              </c:numCache>
            </c:numRef>
          </c:val>
          <c:extLst>
            <c:ext xmlns:c16="http://schemas.microsoft.com/office/drawing/2014/chart" uri="{C3380CC4-5D6E-409C-BE32-E72D297353CC}">
              <c16:uniqueId val="{00000006-FE36-483D-B835-5DF61B81A50C}"/>
            </c:ext>
          </c:extLst>
        </c:ser>
        <c:ser>
          <c:idx val="8"/>
          <c:order val="8"/>
          <c:tx>
            <c:strRef>
              <c:f>'Homes - 2022'!$C$43:$C$44</c:f>
              <c:strCache>
                <c:ptCount val="1"/>
                <c:pt idx="0">
                  <c:v>Savings:</c:v>
                </c:pt>
              </c:strCache>
            </c:strRef>
          </c:tx>
          <c:spPr>
            <a:pattFill prst="ltUpDiag">
              <a:fgClr>
                <a:srgbClr val="92D050"/>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FE36-483D-B835-5DF61B81A50C}"/>
                </c:ext>
              </c:extLst>
            </c:dLbl>
            <c:dLbl>
              <c:idx val="1"/>
              <c:tx>
                <c:rich>
                  <a:bodyPr/>
                  <a:lstStyle/>
                  <a:p>
                    <a:r>
                      <a:rPr lang="en-US"/>
                      <a:t>Savings:</a:t>
                    </a:r>
                  </a:p>
                  <a:p>
                    <a:fld id="{0D4050D6-1F43-4DA6-989D-6BA02A9A1CBC}"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{0D4050D6-1F43-4DA6-989D-6BA02A9A1CBC}</c15:txfldGUID>
                      <c15:f>'Homes - 2022'!$D$44</c15:f>
                      <c15:dlblFieldTableCache>
                        <c:ptCount val="1"/>
                        <c:pt idx="0">
                          <c:v>21.8%</c:v>
                        </c:pt>
                      </c15:dlblFieldTableCache>
                    </c15:dlblFTEntry>
                  </c15:dlblFieldTable>
                  <c15:showDataLabelsRange val="0"/>
                </c:ext>
                <c:ext xmlns:c16="http://schemas.microsoft.com/office/drawing/2014/chart" uri="{C3380CC4-5D6E-409C-BE32-E72D297353CC}">
                  <c16:uniqueId val="{00000008-FE36-483D-B835-5DF61B81A50C}"/>
                </c:ext>
              </c:extLst>
            </c:dLbl>
            <c:dLbl>
              <c:idx val="2"/>
              <c:tx>
                <c:rich>
                  <a:bodyPr/>
                  <a:lstStyle/>
                  <a:p>
                    <a:fld id="{8B2A3CEA-1BA8-4265-9430-107FFD5D0082}"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{8B2A3CEA-1BA8-4265-9430-107FFD5D0082}</c15:txfldGUID>
                      <c15:f>'Homes - 2022'!$E$44</c15:f>
                      <c15:dlblFieldTableCache>
                        <c:ptCount val="1"/>
                        <c:pt idx="0">
                          <c:v>37.5%</c:v>
                        </c:pt>
                      </c15:dlblFieldTableCache>
                    </c15:dlblFTEntry>
                  </c15:dlblFieldTable>
                  <c15:showDataLabelsRange val="0"/>
                </c:ext>
                <c:ext xmlns:c16="http://schemas.microsoft.com/office/drawing/2014/chart" uri="{C3380CC4-5D6E-409C-BE32-E72D297353CC}">
                  <c16:uniqueId val="{00000009-FE36-483D-B835-5DF61B81A50C}"/>
                </c:ext>
              </c:extLst>
            </c:dLbl>
            <c:dLbl>
              <c:idx val="3"/>
              <c:tx>
                <c:rich>
                  <a:bodyPr/>
                  <a:lstStyle/>
                  <a:p>
                    <a:fld id="{4BFA8145-64D9-4D94-96F6-1EB76A79F99B}"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{4BFA8145-64D9-4D94-96F6-1EB76A79F99B}</c15:txfldGUID>
                      <c15:f>'Homes - 2022'!$G$44</c15:f>
                      <c15:dlblFieldTableCache>
                        <c:ptCount val="1"/>
                        <c:pt idx="0">
                          <c:v>11.7%</c:v>
                        </c:pt>
                      </c15:dlblFieldTableCache>
                    </c15:dlblFTEntry>
                  </c15:dlblFieldTable>
                  <c15:showDataLabelsRange val="0"/>
                </c:ext>
                <c:ext xmlns:c16="http://schemas.microsoft.com/office/drawing/2014/chart" uri="{C3380CC4-5D6E-409C-BE32-E72D297353CC}">
                  <c16:uniqueId val="{0000000A-FE36-483D-B835-5DF61B81A50C}"/>
                </c:ext>
              </c:extLst>
            </c:dLbl>
            <c:dLbl>
              <c:idx val="4"/>
              <c:tx>
                <c:rich>
                  <a:bodyPr/>
                  <a:lstStyle/>
                  <a:p>
                    <a:fld id="{FD81C886-3082-48E1-B796-FA0E4C5D9B09}"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{FD81C886-3082-48E1-B796-FA0E4C5D9B09}</c15:txfldGUID>
                      <c15:f>'Homes - 2022'!$H$44</c15:f>
                      <c15:dlblFieldTableCache>
                        <c:ptCount val="1"/>
                        <c:pt idx="0">
                          <c:v>26.5%</c:v>
                        </c:pt>
                      </c15:dlblFieldTableCache>
                    </c15:dlblFTEntry>
                  </c15:dlblFieldTable>
                  <c15:showDataLabelsRange val="0"/>
                </c:ext>
                <c:ext xmlns:c16="http://schemas.microsoft.com/office/drawing/2014/chart" uri="{C3380CC4-5D6E-409C-BE32-E72D297353CC}">
                  <c16:uniqueId val="{0000000B-FE36-483D-B835-5DF61B81A50C}"/>
                </c:ext>
              </c:extLst>
            </c:dLbl>
            <c:dLbl>
              <c:idx val="5"/>
              <c:tx>
                <c:rich>
                  <a:bodyPr/>
                  <a:lstStyle/>
                  <a:p>
                    <a:fld id="{8DC30F0F-F66B-4C69-92BC-6D2181AF1AFE}"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{8DC30F0F-F66B-4C69-92BC-6D2181AF1AFE}</c15:txfldGUID>
                      <c15:f>'Homes - 2022'!$I$44</c15:f>
                      <c15:dlblFieldTableCache>
                        <c:ptCount val="1"/>
                        <c:pt idx="0">
                          <c:v>37.5%</c:v>
                        </c:pt>
                      </c15:dlblFieldTableCache>
                    </c15:dlblFTEntry>
                  </c15:dlblFieldTable>
                  <c15:showDataLabelsRange val="0"/>
                </c:ext>
                <c:ext xmlns:c16="http://schemas.microsoft.com/office/drawing/2014/chart" uri="{C3380CC4-5D6E-409C-BE32-E72D297353CC}">
                  <c16:uniqueId val="{0000000C-FE36-483D-B835-5DF61B81A5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- 2022'!$C$43:$O$43</c15:sqref>
                  </c15:fullRef>
                </c:ext>
              </c:extLst>
              <c:f>'Homes - 2022'!$C$43:$I$43</c:f>
              <c:numCache>
                <c:formatCode>"$"#,##0</c:formatCode>
                <c:ptCount val="6"/>
                <c:pt idx="0" formatCode="General">
                  <c:v>0</c:v>
                </c:pt>
                <c:pt idx="1">
                  <c:v>461.56585427883897</c:v>
                </c:pt>
                <c:pt idx="2">
                  <c:v>791.90557140688952</c:v>
                </c:pt>
                <c:pt idx="3">
                  <c:v>246.42885744237287</c:v>
                </c:pt>
                <c:pt idx="4">
                  <c:v>559.68532516919299</c:v>
                </c:pt>
                <c:pt idx="5">
                  <c:v>791.90557140688952</c:v>
                </c:pt>
              </c:numCache>
            </c:numRef>
          </c:val>
          <c:extLst>
            <c:ext xmlns:c15="http://schemas.microsoft.com/office/drawing/2012/chart" uri="{02D57815-91ED-43cb-92C2-25804820EDAC}">
              <c15:categoryFilterExceptions>
                <c15:categoryFilterException>
                  <c15:sqref>'Homes - 2022'!$J$43</c15:sqref>
                  <c15:dLbl>
                    <c:idx val="5"/>
                    <c:tx>
                      <c:rich>
                        <a:bodyPr/>
                        <a:lstStyle/>
                        <a:p>
                          <a:fld id="{559AFE73-56C7-44CE-821E-3741863275D7}"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{559AFE73-56C7-44CE-821E-3741863275D7}</c15:txfldGUID>
                            <c15:f>'Homes - 2022'!$J$44</c15:f>
                            <c15:dlblFieldTableCache>
                              <c:ptCount val="1"/>
                              <c:pt idx="0">
                                <c:v>10.0%</c:v>
                              </c:pt>
                            </c15:dlblFieldTableCache>
                          </c15:dlblFTEntry>
                        </c15:dlblFieldTable>
                        <c15:showDataLabelsRange val="0"/>
                      </c:ext>
                      <c:ext xmlns:c16="http://schemas.microsoft.com/office/drawing/2014/chart" uri="{C3380CC4-5D6E-409C-BE32-E72D297353CC}">
                        <c16:uniqueId val="{00000000-598C-47C1-B051-239C493813AF}"/>
                      </c:ext>
                    </c:extLst>
                  </c15:dLbl>
                </c15:categoryFilterException>
                <c15:categoryFilterException>
                  <c15:sqref>'Homes - 2022'!$K$43</c15:sqref>
                  <c15:dLbl>
                    <c:idx val="5"/>
                    <c:tx>
                      <c:rich>
                        <a:bodyPr/>
                        <a:lstStyle/>
                        <a:p>
                          <a:fld id="{08376E1E-B432-4BB5-9B3A-19D347C44BE8}"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{08376E1E-B432-4BB5-9B3A-19D347C44BE8}</c15:txfldGUID>
                            <c15:f>'Homes - 2022'!$K$44</c15:f>
                            <c15:dlblFieldTableCache>
                              <c:ptCount val="1"/>
                              <c:pt idx="0">
                                <c:v>28.7%</c:v>
                              </c:pt>
                            </c15:dlblFieldTableCache>
                          </c15:dlblFTEntry>
                        </c15:dlblFieldTable>
                        <c15:showDataLabelsRange val="0"/>
                      </c:ext>
                      <c:ext xmlns:c16="http://schemas.microsoft.com/office/drawing/2014/chart" uri="{C3380CC4-5D6E-409C-BE32-E72D297353CC}">
                        <c16:uniqueId val="{00000001-598C-47C1-B051-239C493813AF}"/>
                      </c:ext>
                    </c:extLst>
                  </c15:dLbl>
                </c15:categoryFilterException>
                <c15:categoryFilterException>
                  <c15:sqref>'Homes - 2022'!$L$43</c15:sqref>
                  <c15:dLbl>
                    <c:idx val="5"/>
                    <c:tx>
                      <c:rich>
                        <a:bodyPr/>
                        <a:lstStyle/>
                        <a:p>
                          <a:fld id="{3AE58BBE-B84A-4414-A535-320A89B97246}"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{3AE58BBE-B84A-4414-A535-320A89B97246}</c15:txfldGUID>
                            <c15:f>'Homes - 2022'!$L$44</c15:f>
                            <c15:dlblFieldTableCache>
                              <c:ptCount val="1"/>
                              <c:pt idx="0">
                                <c:v>43.4%</c:v>
                              </c:pt>
                            </c15:dlblFieldTableCache>
                          </c15:dlblFTEntry>
                        </c15:dlblFieldTable>
                        <c15:showDataLabelsRange val="0"/>
                      </c:ext>
                      <c:ext xmlns:c16="http://schemas.microsoft.com/office/drawing/2014/chart" uri="{C3380CC4-5D6E-409C-BE32-E72D297353CC}">
                        <c16:uniqueId val="{00000002-598C-47C1-B051-239C493813AF}"/>
                      </c:ext>
                    </c:extLst>
                  </c15:dLbl>
                </c15:categoryFilterException>
                <c15:categoryFilterException>
                  <c15:sqref>'Homes - 2022'!$M$43</c15:sqref>
                  <c15:dLbl>
                    <c:idx val="5"/>
                    <c:tx>
                      <c:rich>
                        <a:bodyPr/>
                        <a:lstStyle/>
                        <a:p>
                          <a:fld id="{44F357C0-7CAB-41A7-890D-E8830C93F9C1}"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{44F357C0-7CAB-41A7-890D-E8830C93F9C1}</c15:txfldGUID>
                            <c15:f>'Homes - 2022'!$M$44</c15:f>
                            <c15:dlblFieldTableCache>
                              <c:ptCount val="1"/>
                              <c:pt idx="0">
                                <c:v>20.9%</c:v>
                              </c:pt>
                            </c15:dlblFieldTableCache>
                          </c15:dlblFTEntry>
                        </c15:dlblFieldTable>
                        <c15:showDataLabelsRange val="0"/>
                      </c:ext>
                      <c:ext xmlns:c16="http://schemas.microsoft.com/office/drawing/2014/chart" uri="{C3380CC4-5D6E-409C-BE32-E72D297353CC}">
                        <c16:uniqueId val="{00000003-598C-47C1-B051-239C493813AF}"/>
                      </c:ext>
                    </c:extLst>
                  </c15:dLbl>
                </c15:categoryFilterException>
                <c15:categoryFilterException>
                  <c15:sqref>'Homes - 2022'!$N$43</c15:sqref>
                  <c15:dLbl>
                    <c:idx val="5"/>
                    <c:tx>
                      <c:rich>
                        <a:bodyPr/>
                        <a:lstStyle/>
                        <a:p>
                          <a:fld id="{6B6C905B-1F2F-41F7-A6A4-7877C29FC2A8}"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{6B6C905B-1F2F-41F7-A6A4-7877C29FC2A8}</c15:txfldGUID>
                            <c15:f>'Homes - 2022'!$N$44</c15:f>
                            <c15:dlblFieldTableCache>
                              <c:ptCount val="1"/>
                              <c:pt idx="0">
                                <c:v>33.8%</c:v>
                              </c:pt>
                            </c15:dlblFieldTableCache>
                          </c15:dlblFTEntry>
                        </c15:dlblFieldTable>
                        <c15:showDataLabelsRange val="0"/>
                      </c:ext>
                      <c:ext xmlns:c16="http://schemas.microsoft.com/office/drawing/2014/chart" uri="{C3380CC4-5D6E-409C-BE32-E72D297353CC}">
                        <c16:uniqueId val="{00000004-598C-47C1-B051-239C493813AF}"/>
                      </c:ext>
                    </c:extLst>
                  </c15:dLbl>
                </c15:categoryFilterException>
                <c15:categoryFilterException>
                  <c15:sqref>'Homes - 2022'!$O$43</c15:sqref>
                  <c15:dLbl>
                    <c:idx val="5"/>
                    <c:tx>
                      <c:rich>
                        <a:bodyPr/>
                        <a:lstStyle/>
                        <a:p>
                          <a:fld id="{69D65F13-04FD-4D8A-A272-4C60C7C1F737}"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{69D65F13-04FD-4D8A-A272-4C60C7C1F737}</c15:txfldGUID>
                            <c15:f>'Homes - 2022'!$O$44</c15:f>
                            <c15:dlblFieldTableCache>
                              <c:ptCount val="1"/>
                              <c:pt idx="0">
                                <c:v>43.4%</c:v>
                              </c:pt>
                            </c15:dlblFieldTableCache>
                          </c15:dlblFTEntry>
                        </c15:dlblFieldTable>
                        <c15:showDataLabelsRange val="0"/>
                      </c:ext>
                      <c:ext xmlns:c16="http://schemas.microsoft.com/office/drawing/2014/chart" uri="{C3380CC4-5D6E-409C-BE32-E72D297353CC}">
                        <c16:uniqueId val="{00000005-598C-47C1-B051-239C493813AF}"/>
                      </c:ext>
                    </c:extLst>
                  </c15:dLbl>
                </c15:categoryFilterException>
              </c15:categoryFilterExceptions>
            </c:ext>
            <c:ext xmlns:c16="http://schemas.microsoft.com/office/drawing/2014/chart" uri="{C3380CC4-5D6E-409C-BE32-E72D297353CC}">
              <c16:uniqueId val="{00000013-FE36-483D-B835-5DF61B81A50C}"/>
            </c:ext>
          </c:extLst>
        </c:ser>
        <c:dLbls>
          <c:showLegendKey val="0"/>
          <c:showVal val="0"/>
          <c:showCatName val="0"/>
          <c:showSerName val="0"/>
          <c:showPercent val="0"/>
          <c:showBubbleSize val="0"/>
        </c:dLbls>
        <c:gapWidth val="150"/>
        <c:overlap val="100"/>
        <c:axId val="1219553984"/>
        <c:axId val="1219555952"/>
        <c:extLst>
          <c:ext xmlns:c15="http://schemas.microsoft.com/office/drawing/2012/chart" uri="{02D57815-91ED-43cb-92C2-25804820EDAC}">
            <c15:filteredBarSeries>
              <c15:ser>
                <c:idx val="7"/>
                <c:order val="7"/>
                <c:tx>
                  <c:strRef>
                    <c:extLst>
                      <c:ext uri="{02D57815-91ED-43cb-92C2-25804820EDAC}">
                        <c15:formulaRef>
                          <c15:sqref>'Homes - 2022'!$B$42</c15:sqref>
                        </c15:formulaRef>
                      </c:ext>
                    </c:extLst>
                    <c:strCache>
                      <c:ptCount val="1"/>
                      <c:pt idx="0">
                        <c:v>Cost</c:v>
                      </c:pt>
                    </c:strCache>
                  </c:strRef>
                </c:tx>
                <c:spPr>
                  <a:pattFill prst="ltUpDiag">
                    <a:fgClr>
                      <a:schemeClr val="accent3"/>
                    </a:fgClr>
                    <a:bgClr>
                      <a:schemeClr val="bg1"/>
                    </a:bgClr>
                  </a:pattFill>
                  <a:ln>
                    <a:noFill/>
                  </a:ln>
                  <a:effectLst/>
                </c:spPr>
                <c:invertIfNegative val="0"/>
                <c:dLbls>
                  <c:dLbl>
                    <c:idx val="0"/>
                    <c:tx>
                      <c:rich>
                        <a:bodyPr/>
                        <a:lstStyle/>
                        <a:p>
                          <a:fld id="{932E3466-B64E-4EE1-80C2-E6E1DB93C42F}"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4-FE36-483D-B835-5DF61B81A50C}"/>
                      </c:ext>
                    </c:extLst>
                  </c:dLbl>
                  <c:dLbl>
                    <c:idx val="1"/>
                    <c:tx>
                      <c:rich>
                        <a:bodyPr/>
                        <a:lstStyle/>
                        <a:p>
                          <a:fld id="{4303FBEC-6EA8-4349-BC35-84038828F80B}"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5-FE36-483D-B835-5DF61B81A50C}"/>
                      </c:ext>
                    </c:extLst>
                  </c:dLbl>
                  <c:dLbl>
                    <c:idx val="2"/>
                    <c:tx>
                      <c:rich>
                        <a:bodyPr/>
                        <a:lstStyle/>
                        <a:p>
                          <a:fld id="{75465F41-1D38-4D37-8501-2EDB2EE958D1}"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6-FE36-483D-B835-5DF61B81A50C}"/>
                      </c:ext>
                    </c:extLst>
                  </c:dLbl>
                  <c:dLbl>
                    <c:idx val="3"/>
                    <c:tx>
                      <c:rich>
                        <a:bodyPr/>
                        <a:lstStyle/>
                        <a:p>
                          <a:fld id="{0F1FE64C-95BA-4703-A7CF-60543CCBB9D0}"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7-FE36-483D-B835-5DF61B81A50C}"/>
                      </c:ext>
                    </c:extLst>
                  </c:dLbl>
                  <c:dLbl>
                    <c:idx val="4"/>
                    <c:tx>
                      <c:rich>
                        <a:bodyPr/>
                        <a:lstStyle/>
                        <a:p>
                          <a:fld id="{B739AFF6-5DE7-4159-A56B-C76E1172E6C6}"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8-FE36-483D-B835-5DF61B81A50C}"/>
                      </c:ext>
                    </c:extLst>
                  </c:dLbl>
                  <c:dLbl>
                    <c:idx val="5"/>
                    <c:tx>
                      <c:rich>
                        <a:bodyPr/>
                        <a:lstStyle/>
                        <a:p>
                          <a:fld id="{811A77BD-15C0-49DC-9498-688DC571E6E8}"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9-FE36-483D-B835-5DF61B81A5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ct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'Homes - 2022'!$C$23:$O$23</c15:sqref>
                        </c15:fullRef>
                        <c15:formulaRef>
                          <c15:sqref>'Homes - 2022'!$C$23:$I$23</c15:sqref>
                        </c15:formulaRef>
                      </c:ext>
                    </c:extLst>
                    <c:strCache>
                      <c:ptCount val="6"/>
                      <c:pt idx="0">
                        <c:v>Worst - Existing</c:v>
                      </c:pt>
                      <c:pt idx="1">
                        <c:v>Mid - Existing</c:v>
                      </c:pt>
                      <c:pt idx="2">
                        <c:v>Best - Existing</c:v>
                      </c:pt>
                      <c:pt idx="3">
                        <c:v>Worst - Wx</c:v>
                      </c:pt>
                      <c:pt idx="4">
                        <c:v>Mid - Wx</c:v>
                      </c:pt>
                      <c:pt idx="5">
                        <c:v>Best - Wx</c:v>
                      </c:pt>
                    </c:strCache>
                  </c:strRef>
                </c:cat>
                <c:val>
                  <c:numRef>
                    <c:extLst>
                      <c:ext uri="{02D57815-91ED-43cb-92C2-25804820EDAC}">
                        <c15:fullRef>
                          <c15:sqref>'Homes - 2022'!$C$42:$O$42</c15:sqref>
                        </c15:fullRef>
                        <c15:formulaRef>
                          <c15:sqref>'Homes - 2022'!$C$42:$I$42</c15:sqref>
                        </c15:formulaRef>
                      </c:ext>
                    </c:extLst>
                    <c:numCache>
                      <c:formatCode>"$"#,##0</c:formatCode>
                      <c:ptCount val="6"/>
                      <c:pt idx="0">
                        <c:v>2113.9398841696357</c:v>
                      </c:pt>
                      <c:pt idx="1">
                        <c:v>1652.3740298907967</c:v>
                      </c:pt>
                      <c:pt idx="2">
                        <c:v>1322.0343127627461</c:v>
                      </c:pt>
                      <c:pt idx="3">
                        <c:v>1867.5110267272628</c:v>
                      </c:pt>
                      <c:pt idx="4">
                        <c:v>1554.2545590004427</c:v>
                      </c:pt>
                      <c:pt idx="5">
                        <c:v>1322.0343127627461</c:v>
                      </c:pt>
                    </c:numCache>
                  </c:numRef>
                </c:val>
                <c:extLst>
                  <c:ext uri="{02D57815-91ED-43cb-92C2-25804820EDAC}">
                    <c15:datalabelsRange>
                      <c15:f>'DB-End Use'!$C$30:$N$30</c15:f>
                      <c15:dlblRangeCache>
                        <c:ptCount val="9"/>
                        <c:pt idx="1">
                          <c:v>Cost Savings: 22%</c:v>
                        </c:pt>
                        <c:pt idx="2">
                          <c:v>Cost Savings: 37%</c:v>
                        </c:pt>
                        <c:pt idx="3">
                          <c:v>Cost Savings: 100%</c:v>
                        </c:pt>
                        <c:pt idx="4">
                          <c:v>Cost Savings: 12%</c:v>
                        </c:pt>
                        <c:pt idx="5">
                          <c:v>Cost Savings: 26%</c:v>
                        </c:pt>
                        <c:pt idx="6">
                          <c:v>Cost Savings: 37%</c:v>
                        </c:pt>
                        <c:pt idx="7">
                          <c:v>Cost Savings: 10%</c:v>
                        </c:pt>
                        <c:pt idx="8">
                          <c:v>Cost Savings: 29%</c:v>
                        </c:pt>
                      </c15:dlblRangeCache>
                    </c15:datalabelsRange>
                  </c:ext>
                  <c:ext xmlns:c16="http://schemas.microsoft.com/office/drawing/2014/chart" uri="{C3380CC4-5D6E-409C-BE32-E72D297353CC}">
                    <c16:uniqueId val="{00000020-FE36-483D-B835-5DF61B81A50C}"/>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'Homes - 2022'!$B$44</c15:sqref>
                        </c15:formulaRef>
                      </c:ext>
                    </c:extLst>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'Homes - 2022'!$C$23:$O$23</c15:sqref>
                        </c15:fullRef>
                        <c15:formulaRef>
                          <c15:sqref>'Homes - 2022'!$C$23:$I$23</c15:sqref>
                        </c15:formulaRef>
                      </c:ext>
                    </c:extLst>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- 2022'!$C$44:$O$44</c15:sqref>
                        </c15:fullRef>
                        <c15:formulaRef>
                          <c15:sqref>'Homes - 2022'!$C$44:$I$44</c15:sqref>
                        </c15:formulaRef>
                      </c:ext>
                    </c:extLst>
                    <c:numCache>
                      <c:formatCode>0.0%</c:formatCode>
                      <c:ptCount val="6"/>
                      <c:pt idx="1">
                        <c:v>0.21834388845931818</c:v>
                      </c:pt>
                      <c:pt idx="2">
                        <c:v>0.3746112069397628</c:v>
                      </c:pt>
                      <c:pt idx="3">
                        <c:v>0.11657325702011212</c:v>
                      </c:pt>
                      <c:pt idx="4">
                        <c:v>0.26475933840902</c:v>
                      </c:pt>
                      <c:pt idx="5">
                        <c:v>0.3746112069397628</c:v>
                      </c:pt>
                    </c:numCache>
                  </c:numRef>
                </c:val>
                <c:extLst xmlns:c15="http://schemas.microsoft.com/office/drawing/2012/chart">
                  <c:ext xmlns:c16="http://schemas.microsoft.com/office/drawing/2014/chart" uri="{C3380CC4-5D6E-409C-BE32-E72D297353CC}">
                    <c16:uniqueId val="{00000021-FE36-483D-B835-5DF61B81A50C}"/>
                  </c:ext>
                </c:extLst>
              </c15:ser>
            </c15:filteredBarSeries>
          </c:ext>
        </c:extLst>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Energy Cost ($/yr)</a:t>
                </a:r>
              </a:p>
            </c:rich>
          </c:tx>
          <c:layout>
            <c:manualLayout>
              <c:xMode val="edge"/>
              <c:yMode val="edge"/>
              <c:x val="2.7411906382743153E-2"/>
              <c:y val="0.1727199761904142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Carbon </a:t>
            </a:r>
            <a:r>
              <a:rPr lang="en-US" baseline="0"/>
              <a:t>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'Homes - 2022'!$B$46</c:f>
              <c:strCache>
                <c:ptCount val="1"/>
                <c:pt idx="0">
                  <c:v>Carbon</c:v>
                </c:pt>
              </c:strCache>
            </c:strRef>
          </c:tx>
          <c:spPr>
            <a:solidFill>
              <a:schemeClr val="accent1"/>
            </a:solidFill>
            <a:ln>
              <a:noFill/>
            </a:ln>
            <a:effectLst/>
          </c:spPr>
          <c:invertIfNegative val="0"/>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- 2022'!$C$46:$O$46</c15:sqref>
                  </c15:fullRef>
                </c:ext>
              </c:extLst>
              <c:f>'Homes - 2022'!$C$46:$I$46</c:f>
              <c:numCache>
                <c:formatCode>#,##0.0</c:formatCode>
                <c:ptCount val="6"/>
                <c:pt idx="0">
                  <c:v>9.2648090019990832</c:v>
                </c:pt>
                <c:pt idx="1">
                  <c:v>7.2657360566703426</c:v>
                </c:pt>
                <c:pt idx="2">
                  <c:v>5.7886688054046287</c:v>
                </c:pt>
                <c:pt idx="3">
                  <c:v>8.0312361979568614</c:v>
                </c:pt>
                <c:pt idx="4">
                  <c:v>6.7594995284660655</c:v>
                </c:pt>
                <c:pt idx="5">
                  <c:v>5.7886688054046287</c:v>
                </c:pt>
              </c:numCache>
            </c:numRef>
          </c:val>
          <c:extLst>
            <c:ext xmlns:c16="http://schemas.microsoft.com/office/drawing/2014/chart" uri="{C3380CC4-5D6E-409C-BE32-E72D297353CC}">
              <c16:uniqueId val="{00000000-3090-432A-9227-3BF3A6308ADB}"/>
            </c:ext>
          </c:extLst>
        </c:ser>
        <c:ser>
          <c:idx val="1"/>
          <c:order val="1"/>
          <c:tx>
            <c:strRef>
              <c:f>'Homes - 2022'!$C$47:$C$48</c:f>
              <c:strCache>
                <c:ptCount val="1"/>
                <c:pt idx="0">
                  <c:v>Savings:</c:v>
                </c:pt>
              </c:strCache>
            </c:strRef>
          </c:tx>
          <c:spPr>
            <a:pattFill prst="ltUpDiag">
              <a:fgClr>
                <a:srgbClr val="92D050"/>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090-432A-9227-3BF3A6308ADB}"/>
                </c:ext>
              </c:extLst>
            </c:dLbl>
            <c:dLbl>
              <c:idx val="1"/>
              <c:tx>
                <c:rich>
                  <a:bodyPr/>
                  <a:lstStyle/>
                  <a:p>
                    <a:r>
                      <a:rPr lang="en-US"/>
                      <a:t>Savings:</a:t>
                    </a:r>
                  </a:p>
                  <a:p>
                    <a:fld id="{51A94686-9E5F-4306-A672-B5A78E8E527F}"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{51A94686-9E5F-4306-A672-B5A78E8E527F}</c15:txfldGUID>
                      <c15:f>'Homes - 2022'!$D$48</c15:f>
                      <c15:dlblFieldTableCache>
                        <c:ptCount val="1"/>
                        <c:pt idx="0">
                          <c:v>21.6%</c:v>
                        </c:pt>
                      </c15:dlblFieldTableCache>
                    </c15:dlblFTEntry>
                  </c15:dlblFieldTable>
                  <c15:showDataLabelsRange val="0"/>
                </c:ext>
                <c:ext xmlns:c16="http://schemas.microsoft.com/office/drawing/2014/chart" uri="{C3380CC4-5D6E-409C-BE32-E72D297353CC}">
                  <c16:uniqueId val="{00000002-3090-432A-9227-3BF3A6308ADB}"/>
                </c:ext>
              </c:extLst>
            </c:dLbl>
            <c:dLbl>
              <c:idx val="2"/>
              <c:tx>
                <c:rich>
                  <a:bodyPr/>
                  <a:lstStyle/>
                  <a:p>
                    <a:fld id="{A4D73BB4-289A-4260-BF78-84D5D3FE1C1D}"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{A4D73BB4-289A-4260-BF78-84D5D3FE1C1D}</c15:txfldGUID>
                      <c15:f>'Homes - 2022'!$E$48</c15:f>
                      <c15:dlblFieldTableCache>
                        <c:ptCount val="1"/>
                        <c:pt idx="0">
                          <c:v>37.5%</c:v>
                        </c:pt>
                      </c15:dlblFieldTableCache>
                    </c15:dlblFTEntry>
                  </c15:dlblFieldTable>
                  <c15:showDataLabelsRange val="0"/>
                </c:ext>
                <c:ext xmlns:c16="http://schemas.microsoft.com/office/drawing/2014/chart" uri="{C3380CC4-5D6E-409C-BE32-E72D297353CC}">
                  <c16:uniqueId val="{00000003-3090-432A-9227-3BF3A6308ADB}"/>
                </c:ext>
              </c:extLst>
            </c:dLbl>
            <c:dLbl>
              <c:idx val="3"/>
              <c:tx>
                <c:rich>
                  <a:bodyPr/>
                  <a:lstStyle/>
                  <a:p>
                    <a:fld id="{EEC3BBBE-668A-4C51-88A3-8429E12C10DD}"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{EEC3BBBE-668A-4C51-88A3-8429E12C10DD}</c15:txfldGUID>
                      <c15:f>'Homes - 2022'!$G$48</c15:f>
                      <c15:dlblFieldTableCache>
                        <c:ptCount val="1"/>
                        <c:pt idx="0">
                          <c:v>13.3%</c:v>
                        </c:pt>
                      </c15:dlblFieldTableCache>
                    </c15:dlblFTEntry>
                  </c15:dlblFieldTable>
                  <c15:showDataLabelsRange val="0"/>
                </c:ext>
                <c:ext xmlns:c16="http://schemas.microsoft.com/office/drawing/2014/chart" uri="{C3380CC4-5D6E-409C-BE32-E72D297353CC}">
                  <c16:uniqueId val="{00000004-3090-432A-9227-3BF3A6308ADB}"/>
                </c:ext>
              </c:extLst>
            </c:dLbl>
            <c:dLbl>
              <c:idx val="4"/>
              <c:tx>
                <c:rich>
                  <a:bodyPr/>
                  <a:lstStyle/>
                  <a:p>
                    <a:fld id="{48E00CA0-0485-4815-9444-BBD2D9997F11}"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{48E00CA0-0485-4815-9444-BBD2D9997F11}</c15:txfldGUID>
                      <c15:f>'Homes - 2022'!$H$48</c15:f>
                      <c15:dlblFieldTableCache>
                        <c:ptCount val="1"/>
                        <c:pt idx="0">
                          <c:v>27.0%</c:v>
                        </c:pt>
                      </c15:dlblFieldTableCache>
                    </c15:dlblFTEntry>
                  </c15:dlblFieldTable>
                  <c15:showDataLabelsRange val="0"/>
                </c:ext>
                <c:ext xmlns:c16="http://schemas.microsoft.com/office/drawing/2014/chart" uri="{C3380CC4-5D6E-409C-BE32-E72D297353CC}">
                  <c16:uniqueId val="{00000005-3090-432A-9227-3BF3A6308ADB}"/>
                </c:ext>
              </c:extLst>
            </c:dLbl>
            <c:dLbl>
              <c:idx val="5"/>
              <c:tx>
                <c:rich>
                  <a:bodyPr/>
                  <a:lstStyle/>
                  <a:p>
                    <a:fld id="{47ACD167-86A9-44EA-99AA-F7442FE17E8F}" type="CELLREF">
                      <a:rPr lang="en-US"/>
                      <a:pPr/>
                      <a:t>[CELLREF]</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{47ACD167-86A9-44EA-99AA-F7442FE17E8F}</c15:txfldGUID>
                      <c15:f>'Homes - 2022'!$I$48</c15:f>
                      <c15:dlblFieldTableCache>
                        <c:ptCount val="1"/>
                        <c:pt idx="0">
                          <c:v>37.5%</c:v>
                        </c:pt>
                      </c15:dlblFieldTableCache>
                    </c15:dlblFTEntry>
                  </c15:dlblFieldTable>
                  <c15:showDataLabelsRange val="0"/>
                </c:ext>
                <c:ext xmlns:c16="http://schemas.microsoft.com/office/drawing/2014/chart" uri="{C3380CC4-5D6E-409C-BE32-E72D297353CC}">
                  <c16:uniqueId val="{00000006-3090-432A-9227-3BF3A6308A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'Homes - 2022'!$C$23:$O$23</c15:sqref>
                  </c15:fullRef>
                </c:ext>
              </c:extLst>
              <c:f>'Homes - 2022'!$C$23:$I$23</c:f>
              <c:strCache>
                <c:ptCount val="6"/>
                <c:pt idx="0">
                  <c:v>Worst - Existing</c:v>
                </c:pt>
                <c:pt idx="1">
                  <c:v>Mid - Existing</c:v>
                </c:pt>
                <c:pt idx="2">
                  <c:v>Best - Existing</c:v>
                </c:pt>
                <c:pt idx="3">
                  <c:v>Worst - Wx</c:v>
                </c:pt>
                <c:pt idx="4">
                  <c:v>Mid - Wx</c:v>
                </c:pt>
                <c:pt idx="5">
                  <c:v>Best - Wx</c:v>
                </c:pt>
              </c:strCache>
            </c:strRef>
          </c:cat>
          <c:val>
            <c:numRef>
              <c:extLst>
                <c:ext xmlns:c15="http://schemas.microsoft.com/office/drawing/2012/chart" uri="{02D57815-91ED-43cb-92C2-25804820EDAC}">
                  <c15:fullRef>
                    <c15:sqref>'Homes - 2022'!$C$47:$O$47</c15:sqref>
                  </c15:fullRef>
                </c:ext>
              </c:extLst>
              <c:f>'Homes - 2022'!$C$47:$I$47</c:f>
              <c:numCache>
                <c:formatCode>#,##0.0</c:formatCode>
                <c:ptCount val="6"/>
                <c:pt idx="0" formatCode="General">
                  <c:v>0</c:v>
                </c:pt>
                <c:pt idx="1">
                  <c:v>1.9990729453287406</c:v>
                </c:pt>
                <c:pt idx="2">
                  <c:v>3.4761401965944545</c:v>
                </c:pt>
                <c:pt idx="3">
                  <c:v>1.2335728040422218</c:v>
                </c:pt>
                <c:pt idx="4">
                  <c:v>2.5053094735330177</c:v>
                </c:pt>
                <c:pt idx="5">
                  <c:v>3.4761401965944545</c:v>
                </c:pt>
              </c:numCache>
            </c:numRef>
          </c:val>
          <c:extLst>
            <c:ext xmlns:c15="http://schemas.microsoft.com/office/drawing/2012/chart" uri="{02D57815-91ED-43cb-92C2-25804820EDAC}">
              <c15:categoryFilterExceptions>
                <c15:categoryFilterException>
                  <c15:sqref>'Homes - 2022'!$J$47</c15:sqref>
                  <c15:dLbl>
                    <c:idx val="5"/>
                    <c:tx>
                      <c:rich>
                        <a:bodyPr/>
                        <a:lstStyle/>
                        <a:p>
                          <a:fld id="{2C4E5E5F-F287-4ECE-9F27-1BC64B0713B3}"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{2C4E5E5F-F287-4ECE-9F27-1BC64B0713B3}</c15:txfldGUID>
                            <c15:f>'Homes - 2022'!$J$48</c15:f>
                            <c15:dlblFieldTableCache>
                              <c:ptCount val="1"/>
                              <c:pt idx="0">
                                <c:v>28.9%</c:v>
                              </c:pt>
                            </c15:dlblFieldTableCache>
                          </c15:dlblFTEntry>
                        </c15:dlblFieldTable>
                        <c15:showDataLabelsRange val="0"/>
                      </c:ext>
                      <c:ext xmlns:c16="http://schemas.microsoft.com/office/drawing/2014/chart" uri="{C3380CC4-5D6E-409C-BE32-E72D297353CC}">
                        <c16:uniqueId val="{00000000-C1E5-4C09-8453-0D807A71B26C}"/>
                      </c:ext>
                    </c:extLst>
                  </c15:dLbl>
                </c15:categoryFilterException>
                <c15:categoryFilterException>
                  <c15:sqref>'Homes - 2022'!$K$47</c15:sqref>
                  <c15:dLbl>
                    <c:idx val="5"/>
                    <c:tx>
                      <c:rich>
                        <a:bodyPr/>
                        <a:lstStyle/>
                        <a:p>
                          <a:fld id="{0EE8F2BE-59A5-47C8-8756-DB3CC2DD1204}"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{0EE8F2BE-59A5-47C8-8756-DB3CC2DD1204}</c15:txfldGUID>
                            <c15:f>'Homes - 2022'!$K$48</c15:f>
                            <c15:dlblFieldTableCache>
                              <c:ptCount val="1"/>
                              <c:pt idx="0">
                                <c:v>43.4%</c:v>
                              </c:pt>
                            </c15:dlblFieldTableCache>
                          </c15:dlblFTEntry>
                        </c15:dlblFieldTable>
                        <c15:showDataLabelsRange val="0"/>
                      </c:ext>
                      <c:ext xmlns:c16="http://schemas.microsoft.com/office/drawing/2014/chart" uri="{C3380CC4-5D6E-409C-BE32-E72D297353CC}">
                        <c16:uniqueId val="{00000001-C1E5-4C09-8453-0D807A71B26C}"/>
                      </c:ext>
                    </c:extLst>
                  </c15:dLbl>
                </c15:categoryFilterException>
                <c15:categoryFilterException>
                  <c15:sqref>'Homes - 2022'!$L$47</c15:sqref>
                  <c15:dLbl>
                    <c:idx val="5"/>
                    <c:tx>
                      <c:rich>
                        <a:bodyPr/>
                        <a:lstStyle/>
                        <a:p>
                          <a:fld id="{474B0120-ECDA-49D2-B624-5E055990CC4A}"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{474B0120-ECDA-49D2-B624-5E055990CC4A}</c15:txfldGUID>
                            <c15:f>'Homes - 2022'!$L$48</c15:f>
                            <c15:dlblFieldTableCache>
                              <c:ptCount val="1"/>
                              <c:pt idx="0">
                                <c:v>54.8%</c:v>
                              </c:pt>
                            </c15:dlblFieldTableCache>
                          </c15:dlblFTEntry>
                        </c15:dlblFieldTable>
                        <c15:showDataLabelsRange val="0"/>
                      </c:ext>
                      <c:ext xmlns:c16="http://schemas.microsoft.com/office/drawing/2014/chart" uri="{C3380CC4-5D6E-409C-BE32-E72D297353CC}">
                        <c16:uniqueId val="{00000002-C1E5-4C09-8453-0D807A71B26C}"/>
                      </c:ext>
                    </c:extLst>
                  </c15:dLbl>
                </c15:categoryFilterException>
                <c15:categoryFilterException>
                  <c15:sqref>'Homes - 2022'!$M$47</c15:sqref>
                  <c15:dLbl>
                    <c:idx val="5"/>
                    <c:tx>
                      <c:rich>
                        <a:bodyPr/>
                        <a:lstStyle/>
                        <a:p>
                          <a:fld id="{76810623-D244-4855-931B-6F2E1728379D}"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{76810623-D244-4855-931B-6F2E1728379D}</c15:txfldGUID>
                            <c15:f>'Homes - 2022'!$M$48</c15:f>
                            <c15:dlblFieldTableCache>
                              <c:ptCount val="1"/>
                              <c:pt idx="0">
                                <c:v>37.2%</c:v>
                              </c:pt>
                            </c15:dlblFieldTableCache>
                          </c15:dlblFTEntry>
                        </c15:dlblFieldTable>
                        <c15:showDataLabelsRange val="0"/>
                      </c:ext>
                      <c:ext xmlns:c16="http://schemas.microsoft.com/office/drawing/2014/chart" uri="{C3380CC4-5D6E-409C-BE32-E72D297353CC}">
                        <c16:uniqueId val="{00000003-C1E5-4C09-8453-0D807A71B26C}"/>
                      </c:ext>
                    </c:extLst>
                  </c15:dLbl>
                </c15:categoryFilterException>
                <c15:categoryFilterException>
                  <c15:sqref>'Homes - 2022'!$N$47</c15:sqref>
                  <c15:dLbl>
                    <c:idx val="5"/>
                    <c:tx>
                      <c:rich>
                        <a:bodyPr/>
                        <a:lstStyle/>
                        <a:p>
                          <a:fld id="{09911325-777A-4880-96B6-95C6FDFE779F}"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{09911325-777A-4880-96B6-95C6FDFE779F}</c15:txfldGUID>
                            <c15:f>'Homes - 2022'!$N$48</c15:f>
                            <c15:dlblFieldTableCache>
                              <c:ptCount val="1"/>
                              <c:pt idx="0">
                                <c:v>47.3%</c:v>
                              </c:pt>
                            </c15:dlblFieldTableCache>
                          </c15:dlblFTEntry>
                        </c15:dlblFieldTable>
                        <c15:showDataLabelsRange val="0"/>
                      </c:ext>
                      <c:ext xmlns:c16="http://schemas.microsoft.com/office/drawing/2014/chart" uri="{C3380CC4-5D6E-409C-BE32-E72D297353CC}">
                        <c16:uniqueId val="{00000004-C1E5-4C09-8453-0D807A71B26C}"/>
                      </c:ext>
                    </c:extLst>
                  </c15:dLbl>
                </c15:categoryFilterException>
                <c15:categoryFilterException>
                  <c15:sqref>'Homes - 2022'!$O$47</c15:sqref>
                  <c15:dLbl>
                    <c:idx val="5"/>
                    <c:tx>
                      <c:rich>
                        <a:bodyPr/>
                        <a:lstStyle/>
                        <a:p>
                          <a:fld id="{2E242CB8-02AF-49B8-AB53-7552EAC3050B}" type="CELLREF">
                            <a:rPr lang="en-US"/>
                            <a:pPr/>
                            <a:t>[CELLREF]</a:t>
                          </a:fld>
                          <a:endParaRPr lang="en-US"/>
                        </a:p>
                      </c:rich>
                    </c:tx>
                    <c:dLblPos val="inEnd"/>
                    <c:showLegendKey val="0"/>
                    <c:showVal val="1"/>
                    <c:showCatName val="0"/>
                    <c:showSerName val="0"/>
                    <c:showPercent val="0"/>
                    <c:showBubbleSize val="0"/>
                    <c:extLst>
                      <c:ext uri="{CE6537A1-D6FC-4f65-9D91-7224C49458BB}">
                        <c15:dlblFieldTable>
                          <c15:dlblFTEntry>
                            <c15:txfldGUID>{2E242CB8-02AF-49B8-AB53-7552EAC3050B}</c15:txfldGUID>
                            <c15:f>'Homes - 2022'!$O$48</c15:f>
                            <c15:dlblFieldTableCache>
                              <c:ptCount val="1"/>
                              <c:pt idx="0">
                                <c:v>54.8%</c:v>
                              </c:pt>
                            </c15:dlblFieldTableCache>
                          </c15:dlblFTEntry>
                        </c15:dlblFieldTable>
                        <c15:showDataLabelsRange val="0"/>
                      </c:ext>
                      <c:ext xmlns:c16="http://schemas.microsoft.com/office/drawing/2014/chart" uri="{C3380CC4-5D6E-409C-BE32-E72D297353CC}">
                        <c16:uniqueId val="{00000005-C1E5-4C09-8453-0D807A71B26C}"/>
                      </c:ext>
                    </c:extLst>
                  </c15:dLbl>
                </c15:categoryFilterException>
              </c15:categoryFilterExceptions>
            </c:ext>
            <c:ext xmlns:c16="http://schemas.microsoft.com/office/drawing/2014/chart" uri="{C3380CC4-5D6E-409C-BE32-E72D297353CC}">
              <c16:uniqueId val="{0000000D-3090-432A-9227-3BF3A6308ADB}"/>
            </c:ext>
          </c:extLst>
        </c:ser>
        <c:dLbls>
          <c:showLegendKey val="0"/>
          <c:showVal val="0"/>
          <c:showCatName val="0"/>
          <c:showSerName val="0"/>
          <c:showPercent val="0"/>
          <c:showBubbleSize val="0"/>
        </c:dLbls>
        <c:gapWidth val="150"/>
        <c:overlap val="100"/>
        <c:axId val="1219553984"/>
        <c:axId val="1219555952"/>
        <c:extLst>
          <c:ext xmlns:c15="http://schemas.microsoft.com/office/drawing/2012/chart" uri="{02D57815-91ED-43cb-92C2-25804820EDAC}">
            <c15:filteredBarSeries>
              <c15:ser>
                <c:idx val="2"/>
                <c:order val="2"/>
                <c:tx>
                  <c:strRef>
                    <c:extLst>
                      <c:ext uri="{02D57815-91ED-43cb-92C2-25804820EDAC}">
                        <c15:formulaRef>
                          <c15:sqref>'Homes - 2022'!$B$48</c15:sqref>
                        </c15:formulaRef>
                      </c:ext>
                    </c:extLst>
                    <c:strCache>
                      <c:ptCount val="1"/>
                    </c:strCache>
                  </c:strRef>
                </c:tx>
                <c:spPr>
                  <a:solidFill>
                    <a:schemeClr val="accent3"/>
                  </a:solidFill>
                  <a:ln>
                    <a:noFill/>
                  </a:ln>
                  <a:effectLst/>
                </c:spPr>
                <c:invertIfNegative val="0"/>
                <c:cat>
                  <c:strRef>
                    <c:extLst>
                      <c:ext uri="{02D57815-91ED-43cb-92C2-25804820EDAC}">
                        <c15:fullRef>
                          <c15:sqref>'Homes - 2022'!$C$23:$O$23</c15:sqref>
                        </c15:fullRef>
                        <c15:formulaRef>
                          <c15:sqref>'Homes - 2022'!$C$23:$I$23</c15:sqref>
                        </c15:formulaRef>
                      </c:ext>
                    </c:extLst>
                    <c:strCache>
                      <c:ptCount val="6"/>
                      <c:pt idx="0">
                        <c:v>Worst - Existing</c:v>
                      </c:pt>
                      <c:pt idx="1">
                        <c:v>Mid - Existing</c:v>
                      </c:pt>
                      <c:pt idx="2">
                        <c:v>Best - Existing</c:v>
                      </c:pt>
                      <c:pt idx="3">
                        <c:v>Worst - Wx</c:v>
                      </c:pt>
                      <c:pt idx="4">
                        <c:v>Mid - Wx</c:v>
                      </c:pt>
                      <c:pt idx="5">
                        <c:v>Best - Wx</c:v>
                      </c:pt>
                    </c:strCache>
                  </c:strRef>
                </c:cat>
                <c:val>
                  <c:numRef>
                    <c:extLst>
                      <c:ext uri="{02D57815-91ED-43cb-92C2-25804820EDAC}">
                        <c15:fullRef>
                          <c15:sqref>'Homes - 2022'!$C$48:$O$48</c15:sqref>
                        </c15:fullRef>
                        <c15:formulaRef>
                          <c15:sqref>'Homes - 2022'!$C$48:$I$48</c15:sqref>
                        </c15:formulaRef>
                      </c:ext>
                    </c:extLst>
                    <c:numCache>
                      <c:formatCode>0.0%</c:formatCode>
                      <c:ptCount val="6"/>
                      <c:pt idx="1">
                        <c:v>0.21577055122209177</c:v>
                      </c:pt>
                      <c:pt idx="2">
                        <c:v>0.37519825782100868</c:v>
                      </c:pt>
                      <c:pt idx="3">
                        <c:v>0.13314605878826558</c:v>
                      </c:pt>
                      <c:pt idx="4">
                        <c:v>0.27041134609385287</c:v>
                      </c:pt>
                      <c:pt idx="5">
                        <c:v>0.37519825782100868</c:v>
                      </c:pt>
                    </c:numCache>
                  </c:numRef>
                </c:val>
                <c:extLst>
                  <c:ext xmlns:c16="http://schemas.microsoft.com/office/drawing/2014/chart" uri="{C3380CC4-5D6E-409C-BE32-E72D297353CC}">
                    <c16:uniqueId val="{0000000E-3090-432A-9227-3BF3A6308ADB}"/>
                  </c:ext>
                </c:extLst>
              </c15:ser>
            </c15:filteredBarSeries>
          </c:ext>
        </c:extLst>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Carbon (tons)</a:t>
                </a:r>
              </a:p>
            </c:rich>
          </c:tx>
          <c:layout>
            <c:manualLayout>
              <c:xMode val="edge"/>
              <c:yMode val="edge"/>
              <c:x val="3.4738467294330888E-2"/>
              <c:y val="0.307550938259680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r>
              <a:rPr lang="en-US" sz="1000"/>
              <a:t>262 Homes - Existing</a:t>
            </a:r>
          </a:p>
          <a:p>
            <a:pPr>
              <a:defRPr sz="1000"/>
            </a:pPr>
            <a:r>
              <a:rPr lang="en-US" sz="1000"/>
              <a:t>Elec &amp; Gas Profile (Btu)</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endParaRPr lang="en-US"/>
        </a:p>
      </c:txPr>
    </c:title>
    <c:autoTitleDeleted val="0"/>
    <c:plotArea>
      <c:layout/>
      <c:scatterChart>
        <c:scatterStyle val="smoothMarker"/>
        <c:varyColors val="0"/>
        <c:ser>
          <c:idx val="0"/>
          <c:order val="0"/>
          <c:tx>
            <c:strRef>
              <c:f>'Homes w PV'!$I$7</c:f>
              <c:strCache>
                <c:ptCount val="1"/>
                <c:pt idx="0">
                  <c:v>Electricity:Facility [Btu]</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'Homes w PV'!$A$96:$A$107</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PV'!$I$8:$I$19</c:f>
              <c:numCache>
                <c:formatCode>0</c:formatCode>
                <c:ptCount val="12"/>
                <c:pt idx="0">
                  <c:v>404188350.60000002</c:v>
                </c:pt>
                <c:pt idx="1">
                  <c:v>365173691.80000001</c:v>
                </c:pt>
                <c:pt idx="2">
                  <c:v>384646870.30000001</c:v>
                </c:pt>
                <c:pt idx="3">
                  <c:v>393714129</c:v>
                </c:pt>
                <c:pt idx="4">
                  <c:v>434744898.80000001</c:v>
                </c:pt>
                <c:pt idx="5">
                  <c:v>687127855.5</c:v>
                </c:pt>
                <c:pt idx="6">
                  <c:v>715918835.20000005</c:v>
                </c:pt>
                <c:pt idx="7">
                  <c:v>743962351</c:v>
                </c:pt>
                <c:pt idx="8">
                  <c:v>459264624.60000002</c:v>
                </c:pt>
                <c:pt idx="9">
                  <c:v>387971200.39999998</c:v>
                </c:pt>
                <c:pt idx="10">
                  <c:v>375167342</c:v>
                </c:pt>
                <c:pt idx="11">
                  <c:v>396625749.10000002</c:v>
                </c:pt>
              </c:numCache>
            </c:numRef>
          </c:yVal>
          <c:smooth val="1"/>
          <c:extLst>
            <c:ext xmlns:c16="http://schemas.microsoft.com/office/drawing/2014/chart" uri="{C3380CC4-5D6E-409C-BE32-E72D297353CC}">
              <c16:uniqueId val="{00000000-5CF3-42E7-90EC-3E978FF9D1AF}"/>
            </c:ext>
          </c:extLst>
        </c:ser>
        <c:ser>
          <c:idx val="1"/>
          <c:order val="1"/>
          <c:tx>
            <c:strRef>
              <c:f>'Homes w PV'!$J$7</c:f>
              <c:strCache>
                <c:ptCount val="1"/>
                <c:pt idx="0">
                  <c:v>NaturalGas:Facility [Btu]</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'Homes w PV'!$A$8:$A$19</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PV'!$J$8:$J$19</c:f>
              <c:numCache>
                <c:formatCode>0</c:formatCode>
                <c:ptCount val="12"/>
                <c:pt idx="0">
                  <c:v>3714273183</c:v>
                </c:pt>
                <c:pt idx="1">
                  <c:v>3247071924</c:v>
                </c:pt>
                <c:pt idx="2">
                  <c:v>1817127845</c:v>
                </c:pt>
                <c:pt idx="3">
                  <c:v>1220688639</c:v>
                </c:pt>
                <c:pt idx="4">
                  <c:v>1052047199</c:v>
                </c:pt>
                <c:pt idx="5">
                  <c:v>402470409.80000001</c:v>
                </c:pt>
                <c:pt idx="6">
                  <c:v>396080336.89999998</c:v>
                </c:pt>
                <c:pt idx="7">
                  <c:v>358354108.19999999</c:v>
                </c:pt>
                <c:pt idx="8">
                  <c:v>664808689.89999998</c:v>
                </c:pt>
                <c:pt idx="9">
                  <c:v>1276339313</c:v>
                </c:pt>
                <c:pt idx="10">
                  <c:v>1580347001</c:v>
                </c:pt>
                <c:pt idx="11">
                  <c:v>2816897747</c:v>
                </c:pt>
              </c:numCache>
            </c:numRef>
          </c:yVal>
          <c:smooth val="1"/>
          <c:extLst>
            <c:ext xmlns:c16="http://schemas.microsoft.com/office/drawing/2014/chart" uri="{C3380CC4-5D6E-409C-BE32-E72D297353CC}">
              <c16:uniqueId val="{00000001-5CF3-42E7-90EC-3E978FF9D1AF}"/>
            </c:ext>
          </c:extLst>
        </c:ser>
        <c:dLbls>
          <c:showLegendKey val="0"/>
          <c:showVal val="0"/>
          <c:showCatName val="0"/>
          <c:showSerName val="0"/>
          <c:showPercent val="0"/>
          <c:showBubbleSize val="0"/>
        </c:dLbls>
        <c:axId val="1113193679"/>
        <c:axId val="1113191759"/>
      </c:scatterChart>
      <c:valAx>
        <c:axId val="1113193679"/>
        <c:scaling>
          <c:orientation val="minMax"/>
          <c:max val="44928"/>
          <c:min val="44589"/>
        </c:scaling>
        <c:delete val="0"/>
        <c:axPos val="b"/>
        <c:majorGridlines>
          <c:spPr>
            <a:ln w="9525" cap="flat" cmpd="sng" algn="ctr">
              <a:solidFill>
                <a:schemeClr val="tx1">
                  <a:lumMod val="15000"/>
                  <a:lumOff val="85000"/>
                </a:schemeClr>
              </a:solidFill>
              <a:round/>
            </a:ln>
            <a:effectLst/>
          </c:spPr>
        </c:majorGridlines>
        <c:numFmt formatCode="[$-409]mmmm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1759"/>
        <c:crosses val="autoZero"/>
        <c:crossBetween val="midCat"/>
        <c:majorUnit val="30"/>
      </c:valAx>
      <c:valAx>
        <c:axId val="1113191759"/>
        <c:scaling>
          <c:orientation val="minMax"/>
        </c:scaling>
        <c:delete val="0"/>
        <c:axPos val="l"/>
        <c:majorGridlines>
          <c:spPr>
            <a:ln w="9525" cap="flat" cmpd="sng" algn="ctr">
              <a:solidFill>
                <a:schemeClr val="tx1">
                  <a:lumMod val="15000"/>
                  <a:lumOff val="85000"/>
                </a:schemeClr>
              </a:solidFill>
              <a:round/>
            </a:ln>
            <a:effectLst/>
          </c:spPr>
        </c:majorGridlines>
        <c:numFmt formatCode="0.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36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Century Gothic" panose="020B0502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r>
              <a:rPr lang="en-US" sz="1000"/>
              <a:t>262 Homes - Geo</a:t>
            </a:r>
          </a:p>
          <a:p>
            <a:pPr>
              <a:defRPr sz="1000"/>
            </a:pPr>
            <a:r>
              <a:rPr lang="en-US" sz="1000"/>
              <a:t>Elec &amp; Gas Profile (Btu)</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endParaRPr lang="en-US"/>
        </a:p>
      </c:txPr>
    </c:title>
    <c:autoTitleDeleted val="0"/>
    <c:plotArea>
      <c:layout/>
      <c:scatterChart>
        <c:scatterStyle val="smoothMarker"/>
        <c:varyColors val="0"/>
        <c:ser>
          <c:idx val="0"/>
          <c:order val="0"/>
          <c:tx>
            <c:strRef>
              <c:f>'Homes w PV'!$I$23</c:f>
              <c:strCache>
                <c:ptCount val="1"/>
                <c:pt idx="0">
                  <c:v>Electricity:Facility [Btu]</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'Homes w PV'!$A$96:$A$107</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PV'!$I$24:$I$35</c:f>
              <c:numCache>
                <c:formatCode>General</c:formatCode>
                <c:ptCount val="12"/>
                <c:pt idx="0">
                  <c:v>1176406749.4556999</c:v>
                </c:pt>
                <c:pt idx="1">
                  <c:v>1030158052.89924</c:v>
                </c:pt>
                <c:pt idx="2">
                  <c:v>602366842.101318</c:v>
                </c:pt>
                <c:pt idx="3">
                  <c:v>417084931.75366801</c:v>
                </c:pt>
                <c:pt idx="4">
                  <c:v>417687432.83130997</c:v>
                </c:pt>
                <c:pt idx="5">
                  <c:v>587040426.28499401</c:v>
                </c:pt>
                <c:pt idx="6">
                  <c:v>616703594.22528005</c:v>
                </c:pt>
                <c:pt idx="7">
                  <c:v>646854127.76955605</c:v>
                </c:pt>
                <c:pt idx="8">
                  <c:v>375287314.24885499</c:v>
                </c:pt>
                <c:pt idx="9">
                  <c:v>440120922.40555203</c:v>
                </c:pt>
                <c:pt idx="10">
                  <c:v>523242449.38830501</c:v>
                </c:pt>
                <c:pt idx="11">
                  <c:v>893947172.911798</c:v>
                </c:pt>
              </c:numCache>
            </c:numRef>
          </c:yVal>
          <c:smooth val="1"/>
          <c:extLst>
            <c:ext xmlns:c16="http://schemas.microsoft.com/office/drawing/2014/chart" uri="{C3380CC4-5D6E-409C-BE32-E72D297353CC}">
              <c16:uniqueId val="{00000000-188E-4264-B55F-25A7963DEFD2}"/>
            </c:ext>
          </c:extLst>
        </c:ser>
        <c:ser>
          <c:idx val="1"/>
          <c:order val="1"/>
          <c:tx>
            <c:strRef>
              <c:f>'Homes w PV'!$J$23</c:f>
              <c:strCache>
                <c:ptCount val="1"/>
                <c:pt idx="0">
                  <c:v>NaturalGas:Facility [Btu]</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'Homes w PV'!$A$24:$A$35</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PV'!$J$24:$J$35</c:f>
              <c:numCache>
                <c:formatCode>General</c:formatCode>
                <c:ptCount val="12"/>
                <c:pt idx="0">
                  <c:v>222246114.246566</c:v>
                </c:pt>
                <c:pt idx="1">
                  <c:v>200834112.52231899</c:v>
                </c:pt>
                <c:pt idx="2">
                  <c:v>222252057.610273</c:v>
                </c:pt>
                <c:pt idx="3">
                  <c:v>214826116.03511399</c:v>
                </c:pt>
                <c:pt idx="4">
                  <c:v>211832764.47197399</c:v>
                </c:pt>
                <c:pt idx="5">
                  <c:v>193184828.93471399</c:v>
                </c:pt>
                <c:pt idx="6">
                  <c:v>192194484.40824401</c:v>
                </c:pt>
                <c:pt idx="7">
                  <c:v>189652455.394618</c:v>
                </c:pt>
                <c:pt idx="8">
                  <c:v>186375154.649519</c:v>
                </c:pt>
                <c:pt idx="9">
                  <c:v>200464994.660714</c:v>
                </c:pt>
                <c:pt idx="10">
                  <c:v>206262403.93040401</c:v>
                </c:pt>
                <c:pt idx="11">
                  <c:v>222010578.16098401</c:v>
                </c:pt>
              </c:numCache>
            </c:numRef>
          </c:yVal>
          <c:smooth val="1"/>
          <c:extLst>
            <c:ext xmlns:c16="http://schemas.microsoft.com/office/drawing/2014/chart" uri="{C3380CC4-5D6E-409C-BE32-E72D297353CC}">
              <c16:uniqueId val="{00000001-188E-4264-B55F-25A7963DEFD2}"/>
            </c:ext>
          </c:extLst>
        </c:ser>
        <c:dLbls>
          <c:showLegendKey val="0"/>
          <c:showVal val="0"/>
          <c:showCatName val="0"/>
          <c:showSerName val="0"/>
          <c:showPercent val="0"/>
          <c:showBubbleSize val="0"/>
        </c:dLbls>
        <c:axId val="1113193679"/>
        <c:axId val="1113191759"/>
      </c:scatterChart>
      <c:valAx>
        <c:axId val="1113193679"/>
        <c:scaling>
          <c:orientation val="minMax"/>
          <c:max val="44928"/>
          <c:min val="44589"/>
        </c:scaling>
        <c:delete val="0"/>
        <c:axPos val="b"/>
        <c:majorGridlines>
          <c:spPr>
            <a:ln w="9525" cap="flat" cmpd="sng" algn="ctr">
              <a:solidFill>
                <a:schemeClr val="tx1">
                  <a:lumMod val="15000"/>
                  <a:lumOff val="85000"/>
                </a:schemeClr>
              </a:solidFill>
              <a:round/>
            </a:ln>
            <a:effectLst/>
          </c:spPr>
        </c:majorGridlines>
        <c:numFmt formatCode="[$-409]mmmm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1759"/>
        <c:crosses val="autoZero"/>
        <c:crossBetween val="midCat"/>
        <c:majorUnit val="30"/>
      </c:valAx>
      <c:valAx>
        <c:axId val="1113191759"/>
        <c:scaling>
          <c:orientation val="minMax"/>
          <c:max val="4000000000"/>
        </c:scaling>
        <c:delete val="0"/>
        <c:axPos val="l"/>
        <c:majorGridlines>
          <c:spPr>
            <a:ln w="9525" cap="flat" cmpd="sng" algn="ctr">
              <a:solidFill>
                <a:schemeClr val="tx1">
                  <a:lumMod val="15000"/>
                  <a:lumOff val="85000"/>
                </a:schemeClr>
              </a:solidFill>
              <a:round/>
            </a:ln>
            <a:effectLst/>
          </c:spPr>
        </c:majorGridlines>
        <c:numFmt formatCode="0.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36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Energy Cost </a:t>
            </a:r>
            <a:r>
              <a:rPr lang="en-US" baseline="0"/>
              <a:t>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'T3D-End Use'!$B$19</c:f>
              <c:strCache>
                <c:ptCount val="1"/>
                <c:pt idx="0">
                  <c:v>Lighting</c:v>
                </c:pt>
              </c:strCache>
            </c:strRef>
          </c:tx>
          <c:spPr>
            <a:solidFill>
              <a:schemeClr val="accent1"/>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Use'!$C$19:$N$19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FA0-4140-AD3B-0D927A8B1408}"/>
            </c:ext>
          </c:extLst>
        </c:ser>
        <c:ser>
          <c:idx val="1"/>
          <c:order val="1"/>
          <c:tx>
            <c:strRef>
              <c:f>'T3D-End Use'!$B$20</c:f>
              <c:strCache>
                <c:ptCount val="1"/>
                <c:pt idx="0">
                  <c:v>Heating</c:v>
                </c:pt>
              </c:strCache>
            </c:strRef>
          </c:tx>
          <c:spPr>
            <a:solidFill>
              <a:schemeClr val="accent2"/>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Use'!$C$20:$N$20</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FA0-4140-AD3B-0D927A8B1408}"/>
            </c:ext>
          </c:extLst>
        </c:ser>
        <c:ser>
          <c:idx val="2"/>
          <c:order val="2"/>
          <c:tx>
            <c:strRef>
              <c:f>'T3D-End Use'!$B$21</c:f>
              <c:strCache>
                <c:ptCount val="1"/>
                <c:pt idx="0">
                  <c:v>Cooling</c:v>
                </c:pt>
              </c:strCache>
            </c:strRef>
          </c:tx>
          <c:spPr>
            <a:solidFill>
              <a:schemeClr val="accent3"/>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Use'!$C$21:$N$21</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DFA0-4140-AD3B-0D927A8B1408}"/>
            </c:ext>
          </c:extLst>
        </c:ser>
        <c:ser>
          <c:idx val="3"/>
          <c:order val="3"/>
          <c:tx>
            <c:strRef>
              <c:f>'T3D-End Use'!$B$22</c:f>
              <c:strCache>
                <c:ptCount val="1"/>
                <c:pt idx="0">
                  <c:v>Pumps</c:v>
                </c:pt>
              </c:strCache>
            </c:strRef>
          </c:tx>
          <c:spPr>
            <a:solidFill>
              <a:schemeClr val="accent4"/>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Use'!$C$22:$N$22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DFA0-4140-AD3B-0D927A8B1408}"/>
            </c:ext>
          </c:extLst>
        </c:ser>
        <c:ser>
          <c:idx val="4"/>
          <c:order val="4"/>
          <c:tx>
            <c:strRef>
              <c:f>'T3D-End Use'!$B$23</c:f>
              <c:strCache>
                <c:ptCount val="1"/>
                <c:pt idx="0">
                  <c:v>Fans</c:v>
                </c:pt>
              </c:strCache>
            </c:strRef>
          </c:tx>
          <c:spPr>
            <a:solidFill>
              <a:schemeClr val="accent5"/>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Use'!$C$23:$N$23</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DFA0-4140-AD3B-0D927A8B1408}"/>
            </c:ext>
          </c:extLst>
        </c:ser>
        <c:ser>
          <c:idx val="5"/>
          <c:order val="5"/>
          <c:tx>
            <c:strRef>
              <c:f>'T3D-End Use'!$B$24</c:f>
              <c:strCache>
                <c:ptCount val="1"/>
                <c:pt idx="0">
                  <c:v>Receptacles</c:v>
                </c:pt>
              </c:strCache>
            </c:strRef>
          </c:tx>
          <c:spPr>
            <a:solidFill>
              <a:schemeClr val="accent6"/>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Use'!$C$24:$N$24</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DFA0-4140-AD3B-0D927A8B1408}"/>
            </c:ext>
          </c:extLst>
        </c:ser>
        <c:ser>
          <c:idx val="6"/>
          <c:order val="6"/>
          <c:tx>
            <c:strRef>
              <c:f>'T3D-End Use'!$B$25</c:f>
              <c:strCache>
                <c:ptCount val="1"/>
                <c:pt idx="0">
                  <c:v>DHW</c:v>
                </c:pt>
              </c:strCache>
            </c:strRef>
          </c:tx>
          <c:spPr>
            <a:solidFill>
              <a:schemeClr val="accent1">
                <a:lumMod val="60000"/>
              </a:schemeClr>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Use'!$C$25:$N$25</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DFA0-4140-AD3B-0D927A8B1408}"/>
            </c:ext>
          </c:extLst>
        </c:ser>
        <c:ser>
          <c:idx val="7"/>
          <c:order val="7"/>
          <c:tx>
            <c:strRef>
              <c:f>'T3D-End Use'!$B$26</c:f>
              <c:strCache>
                <c:ptCount val="1"/>
                <c:pt idx="0">
                  <c:v>Savings </c:v>
                </c:pt>
              </c:strCache>
            </c:strRef>
          </c:tx>
          <c:spPr>
            <a:pattFill prst="ltUpDiag">
              <a:fgClr>
                <a:schemeClr val="accent3"/>
              </a:fgClr>
              <a:bgClr>
                <a:schemeClr val="bg1"/>
              </a:bgClr>
            </a:pattFill>
            <a:ln>
              <a:noFill/>
            </a:ln>
            <a:effectLst/>
          </c:spPr>
          <c:invertIfNegative val="0"/>
          <c:dLbls>
            <c:dLbl>
              <c:idx val="0"/>
              <c:tx>
                <c:rich>
                  <a:bodyPr/>
                  <a:lstStyle/>
                  <a:p>
                    <a:fld id="{BC6FB1A6-8C11-4ADD-98B0-A6A9F750A0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FA0-4140-AD3B-0D927A8B1408}"/>
                </c:ext>
              </c:extLst>
            </c:dLbl>
            <c:dLbl>
              <c:idx val="1"/>
              <c:tx>
                <c:rich>
                  <a:bodyPr/>
                  <a:lstStyle/>
                  <a:p>
                    <a:fld id="{31EC7D38-D5A2-467E-9CC5-EFDC4FE1E1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FA0-4140-AD3B-0D927A8B1408}"/>
                </c:ext>
              </c:extLst>
            </c:dLbl>
            <c:dLbl>
              <c:idx val="2"/>
              <c:tx>
                <c:rich>
                  <a:bodyPr/>
                  <a:lstStyle/>
                  <a:p>
                    <a:fld id="{A2EE2E65-9DEC-441F-BE0E-8E958439F7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FA0-4140-AD3B-0D927A8B1408}"/>
                </c:ext>
              </c:extLst>
            </c:dLbl>
            <c:dLbl>
              <c:idx val="3"/>
              <c:tx>
                <c:rich>
                  <a:bodyPr/>
                  <a:lstStyle/>
                  <a:p>
                    <a:fld id="{9952A43C-0D1E-4E81-9421-29A758D00A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FA0-4140-AD3B-0D927A8B1408}"/>
                </c:ext>
              </c:extLst>
            </c:dLbl>
            <c:dLbl>
              <c:idx val="4"/>
              <c:tx>
                <c:rich>
                  <a:bodyPr/>
                  <a:lstStyle/>
                  <a:p>
                    <a:fld id="{D4CC69CE-4D8B-4227-9330-AB365223F6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FA0-4140-AD3B-0D927A8B1408}"/>
                </c:ext>
              </c:extLst>
            </c:dLbl>
            <c:dLbl>
              <c:idx val="5"/>
              <c:tx>
                <c:rich>
                  <a:bodyPr/>
                  <a:lstStyle/>
                  <a:p>
                    <a:fld id="{04E06A07-7CA7-479F-863A-60C221DD5D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DFA0-4140-AD3B-0D927A8B1408}"/>
                </c:ext>
              </c:extLst>
            </c:dLbl>
            <c:dLbl>
              <c:idx val="6"/>
              <c:tx>
                <c:rich>
                  <a:bodyPr/>
                  <a:lstStyle/>
                  <a:p>
                    <a:fld id="{24147BAA-13CA-4E4B-8289-094A7AF7BE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FA0-4140-AD3B-0D927A8B1408}"/>
                </c:ext>
              </c:extLst>
            </c:dLbl>
            <c:dLbl>
              <c:idx val="7"/>
              <c:tx>
                <c:rich>
                  <a:bodyPr/>
                  <a:lstStyle/>
                  <a:p>
                    <a:fld id="{C5DC2090-333A-40BB-A99E-F146B88776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FA0-4140-AD3B-0D927A8B1408}"/>
                </c:ext>
              </c:extLst>
            </c:dLbl>
            <c:dLbl>
              <c:idx val="8"/>
              <c:tx>
                <c:rich>
                  <a:bodyPr/>
                  <a:lstStyle/>
                  <a:p>
                    <a:fld id="{AD275908-A004-4F46-A465-15F3468099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DFA0-4140-AD3B-0D927A8B14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Use'!$C$26:$N$26</c:f>
              <c:numCache>
                <c:formatCode>_("$"* #,##0_);_("$"* \(#,##0\);_("$"* "-"??_);_(@_)</c:formatCode>
                <c:ptCount val="9"/>
                <c:pt idx="0" formatCode="_(* #,##0.0_);_(* \(#,##0.0\);_(* &quot;-&quot;?_);_(@_)">
                  <c:v>0</c:v>
                </c:pt>
                <c:pt idx="1">
                  <c:v>0</c:v>
                </c:pt>
                <c:pt idx="2">
                  <c:v>0</c:v>
                </c:pt>
                <c:pt idx="3">
                  <c:v>0</c:v>
                </c:pt>
                <c:pt idx="4">
                  <c:v>0</c:v>
                </c:pt>
                <c:pt idx="5">
                  <c:v>0</c:v>
                </c:pt>
                <c:pt idx="6">
                  <c:v>0</c:v>
                </c:pt>
                <c:pt idx="7">
                  <c:v>0</c:v>
                </c:pt>
                <c:pt idx="8">
                  <c:v>0</c:v>
                </c:pt>
              </c:numCache>
            </c:numRef>
          </c:val>
          <c:extLst>
            <c:ext xmlns:c15="http://schemas.microsoft.com/office/drawing/2012/chart" uri="{02D57815-91ED-43cb-92C2-25804820EDAC}">
              <c15:datalabelsRange>
                <c15:f>'T3D-End Use'!$C$30:$N$30</c15:f>
                <c15:dlblRangeCache>
                  <c:ptCount val="9"/>
                </c15:dlblRangeCache>
              </c15:datalabelsRange>
            </c:ext>
            <c:ext xmlns:c16="http://schemas.microsoft.com/office/drawing/2014/chart" uri="{C3380CC4-5D6E-409C-BE32-E72D297353CC}">
              <c16:uniqueId val="{00000010-DFA0-4140-AD3B-0D927A8B1408}"/>
            </c:ext>
          </c:extLst>
        </c:ser>
        <c:dLbls>
          <c:showLegendKey val="0"/>
          <c:showVal val="0"/>
          <c:showCatName val="0"/>
          <c:showSerName val="0"/>
          <c:showPercent val="0"/>
          <c:showBubbleSize val="0"/>
        </c:dLbls>
        <c:gapWidth val="150"/>
        <c:overlap val="100"/>
        <c:axId val="1219553984"/>
        <c:axId val="1219555952"/>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Energy Cost ($/yr)</a:t>
                </a:r>
              </a:p>
            </c:rich>
          </c:tx>
          <c:layout>
            <c:manualLayout>
              <c:xMode val="edge"/>
              <c:yMode val="edge"/>
              <c:x val="5.4158596352143373E-2"/>
              <c:y val="0.172719945439890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r>
              <a:rPr lang="en-US" sz="1000"/>
              <a:t>262 Homes - Existing</a:t>
            </a:r>
          </a:p>
          <a:p>
            <a:pPr>
              <a:defRPr sz="1000"/>
            </a:pPr>
            <a:r>
              <a:rPr lang="en-US" sz="1000"/>
              <a:t>Elec &amp; Gas Cost ($)</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endParaRPr lang="en-US"/>
        </a:p>
      </c:txPr>
    </c:title>
    <c:autoTitleDeleted val="0"/>
    <c:plotArea>
      <c:layout/>
      <c:scatterChart>
        <c:scatterStyle val="smoothMarker"/>
        <c:varyColors val="0"/>
        <c:ser>
          <c:idx val="0"/>
          <c:order val="0"/>
          <c:tx>
            <c:strRef>
              <c:f>'Homes w PV'!$P$7</c:f>
              <c:strCache>
                <c:ptCount val="1"/>
                <c:pt idx="0">
                  <c:v>Elec Cost ($)</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'Homes w PV'!$A$96:$A$107</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PV'!$P$8:$P$19</c:f>
              <c:numCache>
                <c:formatCode>_("$"* #,##0_);_("$"* \(#,##0\);_("$"* "-"??_);_(@_)</c:formatCode>
                <c:ptCount val="12"/>
                <c:pt idx="0">
                  <c:v>23265.706933716294</c:v>
                </c:pt>
                <c:pt idx="1">
                  <c:v>21019.962798804223</c:v>
                </c:pt>
                <c:pt idx="2">
                  <c:v>22140.86908760844</c:v>
                </c:pt>
                <c:pt idx="3">
                  <c:v>22662.794529777257</c:v>
                </c:pt>
                <c:pt idx="4">
                  <c:v>25024.589133739741</c:v>
                </c:pt>
                <c:pt idx="5">
                  <c:v>39552.142678839387</c:v>
                </c:pt>
                <c:pt idx="6">
                  <c:v>41209.396023821806</c:v>
                </c:pt>
                <c:pt idx="7">
                  <c:v>42823.624190035167</c:v>
                </c:pt>
                <c:pt idx="8">
                  <c:v>26435.98249456038</c:v>
                </c:pt>
                <c:pt idx="9">
                  <c:v>22332.222672497068</c:v>
                </c:pt>
                <c:pt idx="10">
                  <c:v>21595.212769284877</c:v>
                </c:pt>
                <c:pt idx="11">
                  <c:v>22830.391888405626</c:v>
                </c:pt>
              </c:numCache>
            </c:numRef>
          </c:yVal>
          <c:smooth val="1"/>
          <c:extLst>
            <c:ext xmlns:c16="http://schemas.microsoft.com/office/drawing/2014/chart" uri="{C3380CC4-5D6E-409C-BE32-E72D297353CC}">
              <c16:uniqueId val="{00000000-B040-4318-A21E-7CA544DB666D}"/>
            </c:ext>
          </c:extLst>
        </c:ser>
        <c:ser>
          <c:idx val="1"/>
          <c:order val="1"/>
          <c:tx>
            <c:strRef>
              <c:f>'Homes w PV'!$Q$7</c:f>
              <c:strCache>
                <c:ptCount val="1"/>
                <c:pt idx="0">
                  <c:v>Gas Cost ($)</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'Homes w PV'!$A$8:$A$19</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PV'!$Q$8:$Q$19</c:f>
              <c:numCache>
                <c:formatCode>_("$"* #,##0_);_("$"* \(#,##0\);_("$"* "-"??_);_(@_)</c:formatCode>
                <c:ptCount val="12"/>
                <c:pt idx="0">
                  <c:v>29342.042486127171</c:v>
                </c:pt>
                <c:pt idx="1">
                  <c:v>25651.242559537572</c:v>
                </c:pt>
                <c:pt idx="2">
                  <c:v>14354.959854527937</c:v>
                </c:pt>
                <c:pt idx="3">
                  <c:v>9643.2050479768786</c:v>
                </c:pt>
                <c:pt idx="4">
                  <c:v>8310.9701655105964</c:v>
                </c:pt>
                <c:pt idx="5">
                  <c:v>3179.4386901348748</c:v>
                </c:pt>
                <c:pt idx="6">
                  <c:v>3128.9583454527938</c:v>
                </c:pt>
                <c:pt idx="7">
                  <c:v>2830.928407745665</c:v>
                </c:pt>
                <c:pt idx="8">
                  <c:v>5251.8605560500964</c:v>
                </c:pt>
                <c:pt idx="9">
                  <c:v>10082.834649903662</c:v>
                </c:pt>
                <c:pt idx="10">
                  <c:v>12484.436809441231</c:v>
                </c:pt>
                <c:pt idx="11">
                  <c:v>22252.94944643545</c:v>
                </c:pt>
              </c:numCache>
            </c:numRef>
          </c:yVal>
          <c:smooth val="1"/>
          <c:extLst>
            <c:ext xmlns:c16="http://schemas.microsoft.com/office/drawing/2014/chart" uri="{C3380CC4-5D6E-409C-BE32-E72D297353CC}">
              <c16:uniqueId val="{00000001-B040-4318-A21E-7CA544DB666D}"/>
            </c:ext>
          </c:extLst>
        </c:ser>
        <c:dLbls>
          <c:showLegendKey val="0"/>
          <c:showVal val="0"/>
          <c:showCatName val="0"/>
          <c:showSerName val="0"/>
          <c:showPercent val="0"/>
          <c:showBubbleSize val="0"/>
        </c:dLbls>
        <c:axId val="1113193679"/>
        <c:axId val="1113191759"/>
      </c:scatterChart>
      <c:valAx>
        <c:axId val="1113193679"/>
        <c:scaling>
          <c:orientation val="minMax"/>
          <c:max val="44928"/>
          <c:min val="44589"/>
        </c:scaling>
        <c:delete val="0"/>
        <c:axPos val="b"/>
        <c:majorGridlines>
          <c:spPr>
            <a:ln w="9525" cap="flat" cmpd="sng" algn="ctr">
              <a:solidFill>
                <a:schemeClr val="tx1">
                  <a:lumMod val="15000"/>
                  <a:lumOff val="85000"/>
                </a:schemeClr>
              </a:solidFill>
              <a:round/>
            </a:ln>
            <a:effectLst/>
          </c:spPr>
        </c:majorGridlines>
        <c:numFmt formatCode="[$-409]mmmm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1759"/>
        <c:crosses val="autoZero"/>
        <c:crossBetween val="midCat"/>
        <c:majorUnit val="30"/>
      </c:valAx>
      <c:valAx>
        <c:axId val="111319175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36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Century Gothic" panose="020B0502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r>
              <a:rPr lang="en-US" sz="1000"/>
              <a:t>262 Homes - Geo</a:t>
            </a:r>
          </a:p>
          <a:p>
            <a:pPr>
              <a:defRPr sz="1000"/>
            </a:pPr>
            <a:r>
              <a:rPr lang="en-US" sz="1000"/>
              <a:t>Elec &amp; Gas Cost ($)</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endParaRPr lang="en-US"/>
        </a:p>
      </c:txPr>
    </c:title>
    <c:autoTitleDeleted val="0"/>
    <c:plotArea>
      <c:layout/>
      <c:scatterChart>
        <c:scatterStyle val="smoothMarker"/>
        <c:varyColors val="0"/>
        <c:ser>
          <c:idx val="0"/>
          <c:order val="0"/>
          <c:tx>
            <c:strRef>
              <c:f>'Homes w PV'!$P$23</c:f>
              <c:strCache>
                <c:ptCount val="1"/>
                <c:pt idx="0">
                  <c:v>Elec Cost ($)</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'Homes w PV'!$A$96:$A$107</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PV'!$P$24:$P$35</c:f>
              <c:numCache>
                <c:formatCode>_("$"* #,##0_);_("$"* \(#,##0\);_("$"* "-"??_);_(@_)</c:formatCode>
                <c:ptCount val="12"/>
                <c:pt idx="0">
                  <c:v>67715.792963979911</c:v>
                </c:pt>
                <c:pt idx="1">
                  <c:v>59297.491673332574</c:v>
                </c:pt>
                <c:pt idx="2">
                  <c:v>34673.167581681955</c:v>
                </c:pt>
                <c:pt idx="3">
                  <c:v>24008.054102116177</c:v>
                </c:pt>
                <c:pt idx="4">
                  <c:v>24042.734996503303</c:v>
                </c:pt>
                <c:pt idx="5">
                  <c:v>33790.955369980315</c:v>
                </c:pt>
                <c:pt idx="6">
                  <c:v>35498.413219767004</c:v>
                </c:pt>
                <c:pt idx="7">
                  <c:v>37233.924587907619</c:v>
                </c:pt>
                <c:pt idx="8">
                  <c:v>21602.118557583563</c:v>
                </c:pt>
                <c:pt idx="9">
                  <c:v>25334.041371761548</c:v>
                </c:pt>
                <c:pt idx="10">
                  <c:v>30118.645093746512</c:v>
                </c:pt>
                <c:pt idx="11">
                  <c:v>51456.98263771311</c:v>
                </c:pt>
              </c:numCache>
            </c:numRef>
          </c:yVal>
          <c:smooth val="1"/>
          <c:extLst>
            <c:ext xmlns:c16="http://schemas.microsoft.com/office/drawing/2014/chart" uri="{C3380CC4-5D6E-409C-BE32-E72D297353CC}">
              <c16:uniqueId val="{00000000-09D1-4A67-8B0E-938C161758DB}"/>
            </c:ext>
          </c:extLst>
        </c:ser>
        <c:ser>
          <c:idx val="1"/>
          <c:order val="1"/>
          <c:tx>
            <c:strRef>
              <c:f>'Homes w PV'!$Q$23</c:f>
              <c:strCache>
                <c:ptCount val="1"/>
                <c:pt idx="0">
                  <c:v>Gas Cost ($)</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'Homes w PV'!$A$24:$A$35</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PV'!$Q$24:$Q$35</c:f>
              <c:numCache>
                <c:formatCode>_("$"* #,##0_);_("$"* \(#,##0\);_("$"* "-"??_);_(@_)</c:formatCode>
                <c:ptCount val="12"/>
                <c:pt idx="0">
                  <c:v>1755.7014805605406</c:v>
                </c:pt>
                <c:pt idx="1">
                  <c:v>1586.5507925655256</c:v>
                </c:pt>
                <c:pt idx="2">
                  <c:v>1755.7484319886692</c:v>
                </c:pt>
                <c:pt idx="3">
                  <c:v>1697.0849243621722</c:v>
                </c:pt>
                <c:pt idx="4">
                  <c:v>1673.4380237670393</c:v>
                </c:pt>
                <c:pt idx="5">
                  <c:v>1526.1229260738485</c:v>
                </c:pt>
                <c:pt idx="6">
                  <c:v>1518.2993951325636</c:v>
                </c:pt>
                <c:pt idx="7">
                  <c:v>1498.2178557185623</c:v>
                </c:pt>
                <c:pt idx="8">
                  <c:v>1472.327811296778</c:v>
                </c:pt>
                <c:pt idx="9">
                  <c:v>1583.6348325798215</c:v>
                </c:pt>
                <c:pt idx="10">
                  <c:v>1629.4332487758313</c:v>
                </c:pt>
                <c:pt idx="11">
                  <c:v>1753.8407908671184</c:v>
                </c:pt>
              </c:numCache>
            </c:numRef>
          </c:yVal>
          <c:smooth val="1"/>
          <c:extLst>
            <c:ext xmlns:c16="http://schemas.microsoft.com/office/drawing/2014/chart" uri="{C3380CC4-5D6E-409C-BE32-E72D297353CC}">
              <c16:uniqueId val="{00000001-09D1-4A67-8B0E-938C161758DB}"/>
            </c:ext>
          </c:extLst>
        </c:ser>
        <c:dLbls>
          <c:showLegendKey val="0"/>
          <c:showVal val="0"/>
          <c:showCatName val="0"/>
          <c:showSerName val="0"/>
          <c:showPercent val="0"/>
          <c:showBubbleSize val="0"/>
        </c:dLbls>
        <c:axId val="1113193679"/>
        <c:axId val="1113191759"/>
      </c:scatterChart>
      <c:valAx>
        <c:axId val="1113193679"/>
        <c:scaling>
          <c:orientation val="minMax"/>
          <c:max val="44928"/>
          <c:min val="44589"/>
        </c:scaling>
        <c:delete val="0"/>
        <c:axPos val="b"/>
        <c:majorGridlines>
          <c:spPr>
            <a:ln w="9525" cap="flat" cmpd="sng" algn="ctr">
              <a:solidFill>
                <a:schemeClr val="tx1">
                  <a:lumMod val="15000"/>
                  <a:lumOff val="85000"/>
                </a:schemeClr>
              </a:solidFill>
              <a:round/>
            </a:ln>
            <a:effectLst/>
          </c:spPr>
        </c:majorGridlines>
        <c:numFmt formatCode="[$-409]mmmm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1759"/>
        <c:crosses val="autoZero"/>
        <c:crossBetween val="midCat"/>
        <c:majorUnit val="30"/>
      </c:valAx>
      <c:valAx>
        <c:axId val="111319175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36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Century Gothic" panose="020B0502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r>
              <a:rPr lang="en-US" sz="1000"/>
              <a:t>262 Homes - Geo w/ Solar - Net Metered</a:t>
            </a:r>
          </a:p>
          <a:p>
            <a:pPr>
              <a:defRPr sz="1000"/>
            </a:pPr>
            <a:r>
              <a:rPr lang="en-US" sz="1000"/>
              <a:t>Elec &amp; Gas Cost ($)</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endParaRPr lang="en-US"/>
        </a:p>
      </c:txPr>
    </c:title>
    <c:autoTitleDeleted val="0"/>
    <c:plotArea>
      <c:layout/>
      <c:scatterChart>
        <c:scatterStyle val="smoothMarker"/>
        <c:varyColors val="0"/>
        <c:ser>
          <c:idx val="0"/>
          <c:order val="0"/>
          <c:tx>
            <c:strRef>
              <c:f>'Homes w PV'!$P$39</c:f>
              <c:strCache>
                <c:ptCount val="1"/>
                <c:pt idx="0">
                  <c:v>Elec Cost ($)</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'Homes w PV'!$A$96:$A$107</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PV'!$P$40:$P$51</c:f>
              <c:numCache>
                <c:formatCode>_("$"* #,##0_);_("$"* \(#,##0\);_("$"* "-"??_);_(@_)</c:formatCode>
                <c:ptCount val="12"/>
                <c:pt idx="0">
                  <c:v>52276.432464857273</c:v>
                </c:pt>
                <c:pt idx="1">
                  <c:v>39033.331018234116</c:v>
                </c:pt>
                <c:pt idx="2">
                  <c:v>5467.0439708416379</c:v>
                </c:pt>
                <c:pt idx="3">
                  <c:v>-8736.2562897730786</c:v>
                </c:pt>
                <c:pt idx="4">
                  <c:v>-10953.148801508005</c:v>
                </c:pt>
                <c:pt idx="5">
                  <c:v>-4421.4618653482203</c:v>
                </c:pt>
                <c:pt idx="6">
                  <c:v>-3614.6333780103519</c:v>
                </c:pt>
                <c:pt idx="7">
                  <c:v>2624.0248023743798</c:v>
                </c:pt>
                <c:pt idx="8">
                  <c:v>-9855.5784593788103</c:v>
                </c:pt>
                <c:pt idx="9">
                  <c:v>2560.9846355556656</c:v>
                </c:pt>
                <c:pt idx="10">
                  <c:v>12299.049851009133</c:v>
                </c:pt>
                <c:pt idx="11">
                  <c:v>38140.534207219833</c:v>
                </c:pt>
              </c:numCache>
            </c:numRef>
          </c:yVal>
          <c:smooth val="1"/>
          <c:extLst>
            <c:ext xmlns:c16="http://schemas.microsoft.com/office/drawing/2014/chart" uri="{C3380CC4-5D6E-409C-BE32-E72D297353CC}">
              <c16:uniqueId val="{00000000-64A6-4671-B0DD-914F04F03D0A}"/>
            </c:ext>
          </c:extLst>
        </c:ser>
        <c:ser>
          <c:idx val="1"/>
          <c:order val="1"/>
          <c:tx>
            <c:strRef>
              <c:f>'Homes w PV'!$Q$39</c:f>
              <c:strCache>
                <c:ptCount val="1"/>
                <c:pt idx="0">
                  <c:v>Gas Cost ($)</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'Homes w PV'!$A$40:$A$51</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PV'!$Q$40:$Q$51</c:f>
              <c:numCache>
                <c:formatCode>_("$"* #,##0_);_("$"* \(#,##0\);_("$"* "-"??_);_(@_)</c:formatCode>
                <c:ptCount val="12"/>
                <c:pt idx="0">
                  <c:v>1755.7014805605406</c:v>
                </c:pt>
                <c:pt idx="1">
                  <c:v>1586.5507925655256</c:v>
                </c:pt>
                <c:pt idx="2">
                  <c:v>1755.7484319886692</c:v>
                </c:pt>
                <c:pt idx="3">
                  <c:v>1697.0849243621722</c:v>
                </c:pt>
                <c:pt idx="4">
                  <c:v>1673.4380237670393</c:v>
                </c:pt>
                <c:pt idx="5">
                  <c:v>1526.1229260738485</c:v>
                </c:pt>
                <c:pt idx="6">
                  <c:v>1518.2993951325636</c:v>
                </c:pt>
                <c:pt idx="7">
                  <c:v>1498.2178557185623</c:v>
                </c:pt>
                <c:pt idx="8">
                  <c:v>1472.327811296778</c:v>
                </c:pt>
                <c:pt idx="9">
                  <c:v>1583.6348325798215</c:v>
                </c:pt>
                <c:pt idx="10">
                  <c:v>1629.4332487758313</c:v>
                </c:pt>
                <c:pt idx="11">
                  <c:v>1753.8407908671184</c:v>
                </c:pt>
              </c:numCache>
            </c:numRef>
          </c:yVal>
          <c:smooth val="1"/>
          <c:extLst>
            <c:ext xmlns:c16="http://schemas.microsoft.com/office/drawing/2014/chart" uri="{C3380CC4-5D6E-409C-BE32-E72D297353CC}">
              <c16:uniqueId val="{00000001-64A6-4671-B0DD-914F04F03D0A}"/>
            </c:ext>
          </c:extLst>
        </c:ser>
        <c:dLbls>
          <c:showLegendKey val="0"/>
          <c:showVal val="0"/>
          <c:showCatName val="0"/>
          <c:showSerName val="0"/>
          <c:showPercent val="0"/>
          <c:showBubbleSize val="0"/>
        </c:dLbls>
        <c:axId val="1113193679"/>
        <c:axId val="1113191759"/>
      </c:scatterChart>
      <c:valAx>
        <c:axId val="1113193679"/>
        <c:scaling>
          <c:orientation val="minMax"/>
          <c:max val="44928"/>
          <c:min val="44589"/>
        </c:scaling>
        <c:delete val="0"/>
        <c:axPos val="b"/>
        <c:majorGridlines>
          <c:spPr>
            <a:ln w="9525" cap="flat" cmpd="sng" algn="ctr">
              <a:solidFill>
                <a:schemeClr val="tx1">
                  <a:lumMod val="15000"/>
                  <a:lumOff val="85000"/>
                </a:schemeClr>
              </a:solidFill>
              <a:round/>
            </a:ln>
            <a:effectLst/>
          </c:spPr>
        </c:majorGridlines>
        <c:numFmt formatCode="[$-409]mmmm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1759"/>
        <c:crosses val="autoZero"/>
        <c:crossBetween val="midCat"/>
        <c:majorUnit val="30"/>
      </c:valAx>
      <c:valAx>
        <c:axId val="111319175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36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Century Gothic" panose="020B0502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r>
              <a:rPr lang="en-US" sz="1000"/>
              <a:t>262 Homes - Geo - Utility Buyback</a:t>
            </a:r>
          </a:p>
          <a:p>
            <a:pPr>
              <a:defRPr sz="1000"/>
            </a:pPr>
            <a:r>
              <a:rPr lang="en-US" sz="1000"/>
              <a:t>Elec &amp; Gas Cost ($)</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endParaRPr lang="en-US"/>
        </a:p>
      </c:txPr>
    </c:title>
    <c:autoTitleDeleted val="0"/>
    <c:plotArea>
      <c:layout/>
      <c:scatterChart>
        <c:scatterStyle val="smoothMarker"/>
        <c:varyColors val="0"/>
        <c:ser>
          <c:idx val="0"/>
          <c:order val="0"/>
          <c:tx>
            <c:strRef>
              <c:f>'Homes w PV'!$P$55</c:f>
              <c:strCache>
                <c:ptCount val="1"/>
                <c:pt idx="0">
                  <c:v>Elec Cost ($)</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'Homes w PV'!$A$96:$A$107</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PV'!$P$56:$P$67</c:f>
              <c:numCache>
                <c:formatCode>_("$"* #,##0_);_("$"* \(#,##0\);_("$"* "-"??_);_(@_)</c:formatCode>
                <c:ptCount val="12"/>
                <c:pt idx="0">
                  <c:v>52276.432464857273</c:v>
                </c:pt>
                <c:pt idx="1">
                  <c:v>39033.331018234116</c:v>
                </c:pt>
                <c:pt idx="2">
                  <c:v>5467.0439708416379</c:v>
                </c:pt>
                <c:pt idx="3">
                  <c:v>-3901.0675998630295</c:v>
                </c:pt>
                <c:pt idx="4">
                  <c:v>-4890.993634889267</c:v>
                </c:pt>
                <c:pt idx="5">
                  <c:v>-1974.3493156366544</c:v>
                </c:pt>
                <c:pt idx="6">
                  <c:v>-1614.0699961889404</c:v>
                </c:pt>
                <c:pt idx="7">
                  <c:v>2624.0248023743798</c:v>
                </c:pt>
                <c:pt idx="8">
                  <c:v>-4400.8871226452229</c:v>
                </c:pt>
                <c:pt idx="9">
                  <c:v>2560.9846355556656</c:v>
                </c:pt>
                <c:pt idx="10">
                  <c:v>12299.049851009133</c:v>
                </c:pt>
                <c:pt idx="11">
                  <c:v>38140.534207219833</c:v>
                </c:pt>
              </c:numCache>
            </c:numRef>
          </c:yVal>
          <c:smooth val="1"/>
          <c:extLst>
            <c:ext xmlns:c16="http://schemas.microsoft.com/office/drawing/2014/chart" uri="{C3380CC4-5D6E-409C-BE32-E72D297353CC}">
              <c16:uniqueId val="{00000000-CE69-43C0-860D-DEAB63D6CB3C}"/>
            </c:ext>
          </c:extLst>
        </c:ser>
        <c:ser>
          <c:idx val="1"/>
          <c:order val="1"/>
          <c:tx>
            <c:strRef>
              <c:f>'Homes w PV'!$Q$55</c:f>
              <c:strCache>
                <c:ptCount val="1"/>
                <c:pt idx="0">
                  <c:v>Gas Cost ($)</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'Homes w PV'!$A$56:$A$67</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PV'!$Q$56:$Q$67</c:f>
              <c:numCache>
                <c:formatCode>_("$"* #,##0_);_("$"* \(#,##0\);_("$"* "-"??_);_(@_)</c:formatCode>
                <c:ptCount val="12"/>
                <c:pt idx="0">
                  <c:v>1755.7014805605406</c:v>
                </c:pt>
                <c:pt idx="1">
                  <c:v>1586.5507925655256</c:v>
                </c:pt>
                <c:pt idx="2">
                  <c:v>1755.7484319886692</c:v>
                </c:pt>
                <c:pt idx="3">
                  <c:v>1697.0849243621722</c:v>
                </c:pt>
                <c:pt idx="4">
                  <c:v>1673.4380237670393</c:v>
                </c:pt>
                <c:pt idx="5">
                  <c:v>1526.1229260738485</c:v>
                </c:pt>
                <c:pt idx="6">
                  <c:v>1518.2993951325636</c:v>
                </c:pt>
                <c:pt idx="7">
                  <c:v>1498.2178557185623</c:v>
                </c:pt>
                <c:pt idx="8">
                  <c:v>1472.327811296778</c:v>
                </c:pt>
                <c:pt idx="9">
                  <c:v>1583.6348325798215</c:v>
                </c:pt>
                <c:pt idx="10">
                  <c:v>1629.4332487758313</c:v>
                </c:pt>
                <c:pt idx="11">
                  <c:v>1753.8407908671184</c:v>
                </c:pt>
              </c:numCache>
            </c:numRef>
          </c:yVal>
          <c:smooth val="1"/>
          <c:extLst>
            <c:ext xmlns:c16="http://schemas.microsoft.com/office/drawing/2014/chart" uri="{C3380CC4-5D6E-409C-BE32-E72D297353CC}">
              <c16:uniqueId val="{00000001-CE69-43C0-860D-DEAB63D6CB3C}"/>
            </c:ext>
          </c:extLst>
        </c:ser>
        <c:dLbls>
          <c:showLegendKey val="0"/>
          <c:showVal val="0"/>
          <c:showCatName val="0"/>
          <c:showSerName val="0"/>
          <c:showPercent val="0"/>
          <c:showBubbleSize val="0"/>
        </c:dLbls>
        <c:axId val="1113193679"/>
        <c:axId val="1113191759"/>
      </c:scatterChart>
      <c:valAx>
        <c:axId val="1113193679"/>
        <c:scaling>
          <c:orientation val="minMax"/>
          <c:max val="44928"/>
          <c:min val="44589"/>
        </c:scaling>
        <c:delete val="0"/>
        <c:axPos val="b"/>
        <c:majorGridlines>
          <c:spPr>
            <a:ln w="9525" cap="flat" cmpd="sng" algn="ctr">
              <a:solidFill>
                <a:schemeClr val="tx1">
                  <a:lumMod val="15000"/>
                  <a:lumOff val="85000"/>
                </a:schemeClr>
              </a:solidFill>
              <a:round/>
            </a:ln>
            <a:effectLst/>
          </c:spPr>
        </c:majorGridlines>
        <c:numFmt formatCode="[$-409]mmmm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1759"/>
        <c:crosses val="autoZero"/>
        <c:crossBetween val="midCat"/>
        <c:majorUnit val="30"/>
      </c:valAx>
      <c:valAx>
        <c:axId val="111319175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36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Century Gothic" panose="020B0502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r>
              <a:rPr lang="en-US" sz="1000"/>
              <a:t>262 Homes - Existing</a:t>
            </a:r>
          </a:p>
          <a:p>
            <a:pPr>
              <a:defRPr sz="1000"/>
            </a:pPr>
            <a:r>
              <a:rPr lang="en-US" sz="1000"/>
              <a:t>Elec &amp; Gas Carbon (Tons)</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endParaRPr lang="en-US"/>
        </a:p>
      </c:txPr>
    </c:title>
    <c:autoTitleDeleted val="0"/>
    <c:plotArea>
      <c:layout/>
      <c:scatterChart>
        <c:scatterStyle val="smoothMarker"/>
        <c:varyColors val="0"/>
        <c:ser>
          <c:idx val="0"/>
          <c:order val="0"/>
          <c:tx>
            <c:strRef>
              <c:f>'Homes w PV'!$AD$7</c:f>
              <c:strCache>
                <c:ptCount val="1"/>
                <c:pt idx="0">
                  <c:v>Elec (Tons)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'Homes w PV'!$A$96:$A$107</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PV'!$AD$8:$AD$19</c:f>
              <c:numCache>
                <c:formatCode>0.0</c:formatCode>
                <c:ptCount val="12"/>
                <c:pt idx="0">
                  <c:v>77.242288044900135</c:v>
                </c:pt>
                <c:pt idx="1">
                  <c:v>69.786403904425612</c:v>
                </c:pt>
                <c:pt idx="2">
                  <c:v>73.507819577623295</c:v>
                </c:pt>
                <c:pt idx="3">
                  <c:v>75.240615209272121</c:v>
                </c:pt>
                <c:pt idx="4">
                  <c:v>83.081787610433324</c:v>
                </c:pt>
                <c:pt idx="5">
                  <c:v>131.31335343885468</c:v>
                </c:pt>
                <c:pt idx="6">
                  <c:v>136.8154445896289</c:v>
                </c:pt>
                <c:pt idx="7">
                  <c:v>142.17469188609292</c:v>
                </c:pt>
                <c:pt idx="8">
                  <c:v>87.767622123511373</c:v>
                </c:pt>
                <c:pt idx="9">
                  <c:v>74.143114639342286</c:v>
                </c:pt>
                <c:pt idx="10">
                  <c:v>71.696237293296107</c:v>
                </c:pt>
                <c:pt idx="11">
                  <c:v>75.797039455808829</c:v>
                </c:pt>
              </c:numCache>
            </c:numRef>
          </c:yVal>
          <c:smooth val="1"/>
          <c:extLst>
            <c:ext xmlns:c16="http://schemas.microsoft.com/office/drawing/2014/chart" uri="{C3380CC4-5D6E-409C-BE32-E72D297353CC}">
              <c16:uniqueId val="{00000000-0423-495C-A1F2-E743D602EE63}"/>
            </c:ext>
          </c:extLst>
        </c:ser>
        <c:ser>
          <c:idx val="1"/>
          <c:order val="1"/>
          <c:tx>
            <c:strRef>
              <c:f>'Homes w PV'!$AE$7</c:f>
              <c:strCache>
                <c:ptCount val="1"/>
                <c:pt idx="0">
                  <c:v>Gas (Tons)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'Homes w PV'!$A$8:$A$19</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PV'!$AE$8:$AE$19</c:f>
              <c:numCache>
                <c:formatCode>0.0</c:formatCode>
                <c:ptCount val="12"/>
                <c:pt idx="0">
                  <c:v>196.85647869900001</c:v>
                </c:pt>
                <c:pt idx="1">
                  <c:v>172.094811972</c:v>
                </c:pt>
                <c:pt idx="2">
                  <c:v>96.307775785000004</c:v>
                </c:pt>
                <c:pt idx="3">
                  <c:v>64.696497867000005</c:v>
                </c:pt>
                <c:pt idx="4">
                  <c:v>55.758501547000002</c:v>
                </c:pt>
                <c:pt idx="5">
                  <c:v>21.330931719399999</c:v>
                </c:pt>
                <c:pt idx="6">
                  <c:v>20.992257855699997</c:v>
                </c:pt>
                <c:pt idx="7">
                  <c:v>18.992767734599997</c:v>
                </c:pt>
                <c:pt idx="8">
                  <c:v>35.2348605647</c:v>
                </c:pt>
                <c:pt idx="9">
                  <c:v>67.645983588999997</c:v>
                </c:pt>
                <c:pt idx="10">
                  <c:v>83.758391052999997</c:v>
                </c:pt>
                <c:pt idx="11">
                  <c:v>149.295580591</c:v>
                </c:pt>
              </c:numCache>
            </c:numRef>
          </c:yVal>
          <c:smooth val="1"/>
          <c:extLst>
            <c:ext xmlns:c16="http://schemas.microsoft.com/office/drawing/2014/chart" uri="{C3380CC4-5D6E-409C-BE32-E72D297353CC}">
              <c16:uniqueId val="{00000001-0423-495C-A1F2-E743D602EE63}"/>
            </c:ext>
          </c:extLst>
        </c:ser>
        <c:dLbls>
          <c:showLegendKey val="0"/>
          <c:showVal val="0"/>
          <c:showCatName val="0"/>
          <c:showSerName val="0"/>
          <c:showPercent val="0"/>
          <c:showBubbleSize val="0"/>
        </c:dLbls>
        <c:axId val="1113193679"/>
        <c:axId val="1113191759"/>
      </c:scatterChart>
      <c:valAx>
        <c:axId val="1113193679"/>
        <c:scaling>
          <c:orientation val="minMax"/>
          <c:max val="44928"/>
          <c:min val="44589"/>
        </c:scaling>
        <c:delete val="0"/>
        <c:axPos val="b"/>
        <c:majorGridlines>
          <c:spPr>
            <a:ln w="9525" cap="flat" cmpd="sng" algn="ctr">
              <a:solidFill>
                <a:schemeClr val="tx1">
                  <a:lumMod val="15000"/>
                  <a:lumOff val="85000"/>
                </a:schemeClr>
              </a:solidFill>
              <a:round/>
            </a:ln>
            <a:effectLst/>
          </c:spPr>
        </c:majorGridlines>
        <c:numFmt formatCode="[$-409]mmmm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1759"/>
        <c:crosses val="autoZero"/>
        <c:crossBetween val="midCat"/>
        <c:majorUnit val="30"/>
      </c:valAx>
      <c:valAx>
        <c:axId val="111319175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36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Century Gothic" panose="020B0502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r>
              <a:rPr lang="en-US" sz="1000"/>
              <a:t>262 Homes - Geo</a:t>
            </a:r>
          </a:p>
          <a:p>
            <a:pPr>
              <a:defRPr sz="1000"/>
            </a:pPr>
            <a:r>
              <a:rPr lang="en-US" sz="1000"/>
              <a:t>Elec &amp; Gas Carbon (Tons)</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endParaRPr lang="en-US"/>
        </a:p>
      </c:txPr>
    </c:title>
    <c:autoTitleDeleted val="0"/>
    <c:plotArea>
      <c:layout/>
      <c:scatterChart>
        <c:scatterStyle val="smoothMarker"/>
        <c:varyColors val="0"/>
        <c:ser>
          <c:idx val="0"/>
          <c:order val="0"/>
          <c:tx>
            <c:strRef>
              <c:f>'Homes w PV'!$AD$23</c:f>
              <c:strCache>
                <c:ptCount val="1"/>
                <c:pt idx="0">
                  <c:v>Elec (Tons)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'Homes w PV'!$A$96:$A$107</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PV'!$AD$24:$AD$35</c:f>
              <c:numCache>
                <c:formatCode>0</c:formatCode>
                <c:ptCount val="12"/>
                <c:pt idx="0">
                  <c:v>224.81684309934153</c:v>
                </c:pt>
                <c:pt idx="1">
                  <c:v>196.86803178690269</c:v>
                </c:pt>
                <c:pt idx="2">
                  <c:v>115.11512654240977</c:v>
                </c:pt>
                <c:pt idx="3">
                  <c:v>79.706885143721252</c:v>
                </c:pt>
                <c:pt idx="4">
                  <c:v>79.822025923304579</c:v>
                </c:pt>
                <c:pt idx="5">
                  <c:v>112.18617665203553</c:v>
                </c:pt>
                <c:pt idx="6">
                  <c:v>117.85494706307425</c:v>
                </c:pt>
                <c:pt idx="7">
                  <c:v>123.61685532509428</c:v>
                </c:pt>
                <c:pt idx="8">
                  <c:v>71.719164552307149</c:v>
                </c:pt>
                <c:pt idx="9">
                  <c:v>84.109170916408871</c:v>
                </c:pt>
                <c:pt idx="10">
                  <c:v>99.994084275249605</c:v>
                </c:pt>
                <c:pt idx="11">
                  <c:v>170.83749426344119</c:v>
                </c:pt>
              </c:numCache>
            </c:numRef>
          </c:yVal>
          <c:smooth val="1"/>
          <c:extLst>
            <c:ext xmlns:c16="http://schemas.microsoft.com/office/drawing/2014/chart" uri="{C3380CC4-5D6E-409C-BE32-E72D297353CC}">
              <c16:uniqueId val="{00000000-8C4B-4EEC-B01F-D85CE3DCE151}"/>
            </c:ext>
          </c:extLst>
        </c:ser>
        <c:ser>
          <c:idx val="1"/>
          <c:order val="1"/>
          <c:tx>
            <c:strRef>
              <c:f>'Homes w PV'!$AE$23</c:f>
              <c:strCache>
                <c:ptCount val="1"/>
                <c:pt idx="0">
                  <c:v>Gas (Tons)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'Homes w PV'!$A$24:$A$35</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PV'!$AE$24:$AE$35</c:f>
              <c:numCache>
                <c:formatCode>0</c:formatCode>
                <c:ptCount val="12"/>
                <c:pt idx="0">
                  <c:v>11.779044055067997</c:v>
                </c:pt>
                <c:pt idx="1">
                  <c:v>10.644207963682906</c:v>
                </c:pt>
                <c:pt idx="2">
                  <c:v>11.77935905334447</c:v>
                </c:pt>
                <c:pt idx="3">
                  <c:v>11.385784149861042</c:v>
                </c:pt>
                <c:pt idx="4">
                  <c:v>11.227136517014621</c:v>
                </c:pt>
                <c:pt idx="5">
                  <c:v>10.238795933539841</c:v>
                </c:pt>
                <c:pt idx="6">
                  <c:v>10.186307673636932</c:v>
                </c:pt>
                <c:pt idx="7">
                  <c:v>10.051580135914753</c:v>
                </c:pt>
                <c:pt idx="8">
                  <c:v>9.8778831964245075</c:v>
                </c:pt>
                <c:pt idx="9">
                  <c:v>10.624644717017842</c:v>
                </c:pt>
                <c:pt idx="10">
                  <c:v>10.931907408311412</c:v>
                </c:pt>
                <c:pt idx="11">
                  <c:v>11.766560642532154</c:v>
                </c:pt>
              </c:numCache>
            </c:numRef>
          </c:yVal>
          <c:smooth val="1"/>
          <c:extLst>
            <c:ext xmlns:c16="http://schemas.microsoft.com/office/drawing/2014/chart" uri="{C3380CC4-5D6E-409C-BE32-E72D297353CC}">
              <c16:uniqueId val="{00000001-8C4B-4EEC-B01F-D85CE3DCE151}"/>
            </c:ext>
          </c:extLst>
        </c:ser>
        <c:dLbls>
          <c:showLegendKey val="0"/>
          <c:showVal val="0"/>
          <c:showCatName val="0"/>
          <c:showSerName val="0"/>
          <c:showPercent val="0"/>
          <c:showBubbleSize val="0"/>
        </c:dLbls>
        <c:axId val="1113193679"/>
        <c:axId val="1113191759"/>
      </c:scatterChart>
      <c:valAx>
        <c:axId val="1113193679"/>
        <c:scaling>
          <c:orientation val="minMax"/>
          <c:max val="44928"/>
          <c:min val="44589"/>
        </c:scaling>
        <c:delete val="0"/>
        <c:axPos val="b"/>
        <c:majorGridlines>
          <c:spPr>
            <a:ln w="9525" cap="flat" cmpd="sng" algn="ctr">
              <a:solidFill>
                <a:schemeClr val="tx1">
                  <a:lumMod val="15000"/>
                  <a:lumOff val="85000"/>
                </a:schemeClr>
              </a:solidFill>
              <a:round/>
            </a:ln>
            <a:effectLst/>
          </c:spPr>
        </c:majorGridlines>
        <c:numFmt formatCode="[$-409]mmmm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1759"/>
        <c:crosses val="autoZero"/>
        <c:crossBetween val="midCat"/>
        <c:majorUnit val="30"/>
      </c:valAx>
      <c:valAx>
        <c:axId val="1113191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36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Century Gothic" panose="020B0502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r>
              <a:rPr lang="en-US" sz="1000"/>
              <a:t>262 Homes - Geo w/ Solar</a:t>
            </a:r>
          </a:p>
          <a:p>
            <a:pPr>
              <a:defRPr sz="1000"/>
            </a:pPr>
            <a:r>
              <a:rPr lang="en-US" sz="1000"/>
              <a:t>Elec &amp; Gas Carbon (Tons)</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endParaRPr lang="en-US"/>
        </a:p>
      </c:txPr>
    </c:title>
    <c:autoTitleDeleted val="0"/>
    <c:plotArea>
      <c:layout/>
      <c:scatterChart>
        <c:scatterStyle val="smoothMarker"/>
        <c:varyColors val="0"/>
        <c:ser>
          <c:idx val="0"/>
          <c:order val="0"/>
          <c:tx>
            <c:strRef>
              <c:f>'Homes w PV'!$AD$46</c:f>
              <c:strCache>
                <c:ptCount val="1"/>
                <c:pt idx="0">
                  <c:v>Elec (Tons)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'Homes w PV'!$A$96:$A$107</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PV'!$AD$47:$AD$58</c:f>
              <c:numCache>
                <c:formatCode>0</c:formatCode>
                <c:ptCount val="12"/>
                <c:pt idx="0">
                  <c:v>173.45633873363977</c:v>
                </c:pt>
                <c:pt idx="1">
                  <c:v>129.51493374289865</c:v>
                </c:pt>
                <c:pt idx="2">
                  <c:v>18.139979837290895</c:v>
                </c:pt>
                <c:pt idx="3">
                  <c:v>-28.987422416046982</c:v>
                </c:pt>
                <c:pt idx="4">
                  <c:v>-36.343204750850816</c:v>
                </c:pt>
                <c:pt idx="5">
                  <c:v>-14.670675691752287</c:v>
                </c:pt>
                <c:pt idx="6">
                  <c:v>-11.993570372950964</c:v>
                </c:pt>
                <c:pt idx="7">
                  <c:v>8.706671697080683</c:v>
                </c:pt>
                <c:pt idx="8">
                  <c:v>-32.701400517626958</c:v>
                </c:pt>
                <c:pt idx="9">
                  <c:v>8.4975006420955719</c:v>
                </c:pt>
                <c:pt idx="10">
                  <c:v>40.808985167316095</c:v>
                </c:pt>
                <c:pt idx="11">
                  <c:v>126.55258036930695</c:v>
                </c:pt>
              </c:numCache>
            </c:numRef>
          </c:yVal>
          <c:smooth val="1"/>
          <c:extLst>
            <c:ext xmlns:c16="http://schemas.microsoft.com/office/drawing/2014/chart" uri="{C3380CC4-5D6E-409C-BE32-E72D297353CC}">
              <c16:uniqueId val="{00000000-88CE-4833-B78D-E6B35BD6957C}"/>
            </c:ext>
          </c:extLst>
        </c:ser>
        <c:ser>
          <c:idx val="1"/>
          <c:order val="1"/>
          <c:tx>
            <c:strRef>
              <c:f>'Homes w PV'!$AE$46</c:f>
              <c:strCache>
                <c:ptCount val="1"/>
                <c:pt idx="0">
                  <c:v>Gas (Tons)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'Homes w PV'!$A$40:$A$51</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PV'!$AE$47:$AE$58</c:f>
              <c:numCache>
                <c:formatCode>0</c:formatCode>
                <c:ptCount val="12"/>
                <c:pt idx="0">
                  <c:v>11.779044055067997</c:v>
                </c:pt>
                <c:pt idx="1">
                  <c:v>10.644207963682906</c:v>
                </c:pt>
                <c:pt idx="2">
                  <c:v>11.77935905334447</c:v>
                </c:pt>
                <c:pt idx="3">
                  <c:v>11.385784149861042</c:v>
                </c:pt>
                <c:pt idx="4">
                  <c:v>11.227136517014621</c:v>
                </c:pt>
                <c:pt idx="5">
                  <c:v>10.238795933539841</c:v>
                </c:pt>
                <c:pt idx="6">
                  <c:v>10.186307673636932</c:v>
                </c:pt>
                <c:pt idx="7">
                  <c:v>10.051580135914753</c:v>
                </c:pt>
                <c:pt idx="8">
                  <c:v>9.8778831964245075</c:v>
                </c:pt>
                <c:pt idx="9">
                  <c:v>10.624644717017842</c:v>
                </c:pt>
                <c:pt idx="10">
                  <c:v>10.931907408311412</c:v>
                </c:pt>
                <c:pt idx="11">
                  <c:v>11.766560642532154</c:v>
                </c:pt>
              </c:numCache>
            </c:numRef>
          </c:yVal>
          <c:smooth val="1"/>
          <c:extLst>
            <c:ext xmlns:c16="http://schemas.microsoft.com/office/drawing/2014/chart" uri="{C3380CC4-5D6E-409C-BE32-E72D297353CC}">
              <c16:uniqueId val="{00000001-88CE-4833-B78D-E6B35BD6957C}"/>
            </c:ext>
          </c:extLst>
        </c:ser>
        <c:dLbls>
          <c:showLegendKey val="0"/>
          <c:showVal val="0"/>
          <c:showCatName val="0"/>
          <c:showSerName val="0"/>
          <c:showPercent val="0"/>
          <c:showBubbleSize val="0"/>
        </c:dLbls>
        <c:axId val="1113193679"/>
        <c:axId val="1113191759"/>
      </c:scatterChart>
      <c:valAx>
        <c:axId val="1113193679"/>
        <c:scaling>
          <c:orientation val="minMax"/>
          <c:max val="44928"/>
          <c:min val="44589"/>
        </c:scaling>
        <c:delete val="0"/>
        <c:axPos val="b"/>
        <c:majorGridlines>
          <c:spPr>
            <a:ln w="9525" cap="flat" cmpd="sng" algn="ctr">
              <a:solidFill>
                <a:schemeClr val="tx1">
                  <a:lumMod val="15000"/>
                  <a:lumOff val="85000"/>
                </a:schemeClr>
              </a:solidFill>
              <a:round/>
            </a:ln>
            <a:effectLst/>
          </c:spPr>
        </c:majorGridlines>
        <c:numFmt formatCode="[$-409]mmmm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1759"/>
        <c:crosses val="autoZero"/>
        <c:crossBetween val="midCat"/>
        <c:majorUnit val="30"/>
      </c:valAx>
      <c:valAx>
        <c:axId val="1113191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36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Century Gothic" panose="020B0502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r>
              <a:rPr lang="en-US" sz="1000"/>
              <a:t>262 Homes - Geo w/ Solar</a:t>
            </a:r>
          </a:p>
          <a:p>
            <a:pPr>
              <a:defRPr sz="1000"/>
            </a:pPr>
            <a:r>
              <a:rPr lang="en-US" sz="1000"/>
              <a:t>Elec &amp; Gas Profile (Btu)</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Century Gothic" panose="020B0502020202020204" pitchFamily="34" charset="0"/>
              <a:ea typeface="+mn-ea"/>
              <a:cs typeface="+mn-cs"/>
            </a:defRPr>
          </a:pPr>
          <a:endParaRPr lang="en-US"/>
        </a:p>
      </c:txPr>
    </c:title>
    <c:autoTitleDeleted val="0"/>
    <c:plotArea>
      <c:layout/>
      <c:scatterChart>
        <c:scatterStyle val="smoothMarker"/>
        <c:varyColors val="0"/>
        <c:ser>
          <c:idx val="0"/>
          <c:order val="0"/>
          <c:tx>
            <c:strRef>
              <c:f>'Homes w PV'!$I$39</c:f>
              <c:strCache>
                <c:ptCount val="1"/>
                <c:pt idx="0">
                  <c:v>Electricity:Facility [Btu]</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'Homes w PV'!$A$96:$A$107</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PV'!$I$40:$I$51</c:f>
              <c:numCache>
                <c:formatCode>0</c:formatCode>
                <c:ptCount val="12"/>
                <c:pt idx="0">
                  <c:v>908183236.10027003</c:v>
                </c:pt>
                <c:pt idx="1">
                  <c:v>678114691.6202383</c:v>
                </c:pt>
                <c:pt idx="2">
                  <c:v>94977362.67062968</c:v>
                </c:pt>
                <c:pt idx="3">
                  <c:v>-151772436.15430623</c:v>
                </c:pt>
                <c:pt idx="4">
                  <c:v>-190285864.10766453</c:v>
                </c:pt>
                <c:pt idx="5">
                  <c:v>-76812769.269695163</c:v>
                </c:pt>
                <c:pt idx="6">
                  <c:v>-62795972.941809177</c:v>
                </c:pt>
                <c:pt idx="7">
                  <c:v>45586418.664467335</c:v>
                </c:pt>
                <c:pt idx="8">
                  <c:v>-171218094.21283352</c:v>
                </c:pt>
                <c:pt idx="9">
                  <c:v>44491240.206292927</c:v>
                </c:pt>
                <c:pt idx="10">
                  <c:v>213667811.05724627</c:v>
                </c:pt>
                <c:pt idx="11">
                  <c:v>662604392.64273965</c:v>
                </c:pt>
              </c:numCache>
            </c:numRef>
          </c:yVal>
          <c:smooth val="1"/>
          <c:extLst>
            <c:ext xmlns:c16="http://schemas.microsoft.com/office/drawing/2014/chart" uri="{C3380CC4-5D6E-409C-BE32-E72D297353CC}">
              <c16:uniqueId val="{00000000-C40E-40E7-9C7D-69ED949DAFE8}"/>
            </c:ext>
          </c:extLst>
        </c:ser>
        <c:ser>
          <c:idx val="1"/>
          <c:order val="1"/>
          <c:tx>
            <c:strRef>
              <c:f>'Homes w PV'!$J$39</c:f>
              <c:strCache>
                <c:ptCount val="1"/>
                <c:pt idx="0">
                  <c:v>NaturalGas:Facility [Btu]</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'Homes w PV'!$A$40:$A$51</c:f>
              <c:numCache>
                <c:formatCode>[$-409]mmmmm;@</c:formatCode>
                <c:ptCount val="1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numCache>
            </c:numRef>
          </c:xVal>
          <c:yVal>
            <c:numRef>
              <c:f>'Homes w PV'!$J$40:$J$51</c:f>
              <c:numCache>
                <c:formatCode>0</c:formatCode>
                <c:ptCount val="12"/>
                <c:pt idx="0">
                  <c:v>222246114.246566</c:v>
                </c:pt>
                <c:pt idx="1">
                  <c:v>200834112.52231899</c:v>
                </c:pt>
                <c:pt idx="2">
                  <c:v>222252057.610273</c:v>
                </c:pt>
                <c:pt idx="3">
                  <c:v>214826116.03511399</c:v>
                </c:pt>
                <c:pt idx="4">
                  <c:v>211832764.47197399</c:v>
                </c:pt>
                <c:pt idx="5">
                  <c:v>193184828.93471399</c:v>
                </c:pt>
                <c:pt idx="6">
                  <c:v>192194484.40824401</c:v>
                </c:pt>
                <c:pt idx="7">
                  <c:v>189652455.394618</c:v>
                </c:pt>
                <c:pt idx="8">
                  <c:v>186375154.649519</c:v>
                </c:pt>
                <c:pt idx="9">
                  <c:v>200464994.660714</c:v>
                </c:pt>
                <c:pt idx="10">
                  <c:v>206262403.93040401</c:v>
                </c:pt>
                <c:pt idx="11">
                  <c:v>222010578.16098401</c:v>
                </c:pt>
              </c:numCache>
            </c:numRef>
          </c:yVal>
          <c:smooth val="1"/>
          <c:extLst>
            <c:ext xmlns:c16="http://schemas.microsoft.com/office/drawing/2014/chart" uri="{C3380CC4-5D6E-409C-BE32-E72D297353CC}">
              <c16:uniqueId val="{00000001-C40E-40E7-9C7D-69ED949DAFE8}"/>
            </c:ext>
          </c:extLst>
        </c:ser>
        <c:dLbls>
          <c:showLegendKey val="0"/>
          <c:showVal val="0"/>
          <c:showCatName val="0"/>
          <c:showSerName val="0"/>
          <c:showPercent val="0"/>
          <c:showBubbleSize val="0"/>
        </c:dLbls>
        <c:axId val="1113193679"/>
        <c:axId val="1113191759"/>
      </c:scatterChart>
      <c:valAx>
        <c:axId val="1113193679"/>
        <c:scaling>
          <c:orientation val="minMax"/>
          <c:max val="44928"/>
          <c:min val="44589"/>
        </c:scaling>
        <c:delete val="0"/>
        <c:axPos val="b"/>
        <c:majorGridlines>
          <c:spPr>
            <a:ln w="9525" cap="flat" cmpd="sng" algn="ctr">
              <a:solidFill>
                <a:schemeClr val="tx1">
                  <a:lumMod val="15000"/>
                  <a:lumOff val="85000"/>
                </a:schemeClr>
              </a:solidFill>
              <a:round/>
            </a:ln>
            <a:effectLst/>
          </c:spPr>
        </c:majorGridlines>
        <c:numFmt formatCode="[$-409]mmmm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1759"/>
        <c:crosses val="autoZero"/>
        <c:crossBetween val="midCat"/>
        <c:majorUnit val="30"/>
      </c:valAx>
      <c:valAx>
        <c:axId val="1113191759"/>
        <c:scaling>
          <c:orientation val="minMax"/>
        </c:scaling>
        <c:delete val="0"/>
        <c:axPos val="l"/>
        <c:majorGridlines>
          <c:spPr>
            <a:ln w="9525" cap="flat" cmpd="sng" algn="ctr">
              <a:solidFill>
                <a:schemeClr val="tx1">
                  <a:lumMod val="15000"/>
                  <a:lumOff val="85000"/>
                </a:schemeClr>
              </a:solidFill>
              <a:round/>
            </a:ln>
            <a:effectLst/>
          </c:spPr>
        </c:majorGridlines>
        <c:numFmt formatCode="0.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1131936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Century Gothic" panose="020B0502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PV Production Ratio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'PV Production Ratio'!$A$2:$A$13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'PV Production Ratio'!$C$2:$C$13</c:f>
              <c:numCache>
                <c:formatCode>0.00</c:formatCode>
                <c:ptCount val="12"/>
                <c:pt idx="0">
                  <c:v>0.39473684210526316</c:v>
                </c:pt>
                <c:pt idx="1">
                  <c:v>0.51809210526315785</c:v>
                </c:pt>
                <c:pt idx="2">
                  <c:v>0.74671052631578949</c:v>
                </c:pt>
                <c:pt idx="3">
                  <c:v>0.83717105263157898</c:v>
                </c:pt>
                <c:pt idx="4">
                  <c:v>0.89473684210526316</c:v>
                </c:pt>
                <c:pt idx="5">
                  <c:v>0.97697368421052633</c:v>
                </c:pt>
                <c:pt idx="6">
                  <c:v>1</c:v>
                </c:pt>
                <c:pt idx="7">
                  <c:v>0.88486842105263153</c:v>
                </c:pt>
                <c:pt idx="8">
                  <c:v>0.80427631578947367</c:v>
                </c:pt>
                <c:pt idx="9">
                  <c:v>0.58223684210526316</c:v>
                </c:pt>
                <c:pt idx="10">
                  <c:v>0.45559210526315791</c:v>
                </c:pt>
                <c:pt idx="11">
                  <c:v>0.34046052631578949</c:v>
                </c:pt>
              </c:numCache>
            </c:numRef>
          </c:val>
          <c:extLst>
            <c:ext xmlns:c16="http://schemas.microsoft.com/office/drawing/2014/chart" uri="{C3380CC4-5D6E-409C-BE32-E72D297353CC}">
              <c16:uniqueId val="{00000000-1AC5-4FEA-A26A-4A56D294B95C}"/>
            </c:ext>
          </c:extLst>
        </c:ser>
        <c:dLbls>
          <c:showLegendKey val="0"/>
          <c:showVal val="0"/>
          <c:showCatName val="0"/>
          <c:showSerName val="0"/>
          <c:showPercent val="0"/>
          <c:showBubbleSize val="0"/>
        </c:dLbls>
        <c:gapWidth val="219"/>
        <c:overlap val="-27"/>
        <c:axId val="437233328"/>
        <c:axId val="437220368"/>
      </c:barChart>
      <c:catAx>
        <c:axId val="437233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37220368"/>
        <c:crosses val="autoZero"/>
        <c:auto val="1"/>
        <c:lblAlgn val="ctr"/>
        <c:lblOffset val="100"/>
        <c:noMultiLvlLbl val="0"/>
      </c:catAx>
      <c:valAx>
        <c:axId val="4372203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37233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Energy End</a:t>
            </a:r>
            <a:r>
              <a:rPr lang="en-US" baseline="0"/>
              <a:t> Use 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'Neighborhood - TMY3'!$B$24</c:f>
              <c:strCache>
                <c:ptCount val="1"/>
                <c:pt idx="0">
                  <c:v>Lighting</c:v>
                </c:pt>
              </c:strCache>
            </c:strRef>
          </c:tx>
          <c:spPr>
            <a:solidFill>
              <a:schemeClr val="accent1"/>
            </a:solidFill>
            <a:ln>
              <a:noFill/>
            </a:ln>
            <a:effectLst/>
          </c:spPr>
          <c:invertIfNegative val="0"/>
          <c:cat>
            <c:strRef>
              <c:f>'Neighborhood - TMY3'!$C$23:$R$23</c:f>
              <c:strCache>
                <c:ptCount val="16"/>
                <c:pt idx="0">
                  <c:v>262 Homes - Existing</c:v>
                </c:pt>
                <c:pt idx="1">
                  <c:v>262 Homes - Geo</c:v>
                </c:pt>
                <c:pt idx="2">
                  <c:v>262 Homes - Geo + Wx</c:v>
                </c:pt>
                <c:pt idx="3">
                  <c:v>262 Homes - Geo + PV + Wx</c:v>
                </c:pt>
                <c:pt idx="4">
                  <c:v>Community Center - Existing</c:v>
                </c:pt>
                <c:pt idx="5">
                  <c:v>Community Center - Geo</c:v>
                </c:pt>
                <c:pt idx="6">
                  <c:v>Bryant Elementary - Existing</c:v>
                </c:pt>
                <c:pt idx="7">
                  <c:v>Bryant Elementary - Geo</c:v>
                </c:pt>
                <c:pt idx="8">
                  <c:v>County Health - Existing</c:v>
                </c:pt>
                <c:pt idx="9">
                  <c:v>County Health - Geo</c:v>
                </c:pt>
                <c:pt idx="10">
                  <c:v>Wheeler Center - Existing</c:v>
                </c:pt>
                <c:pt idx="11">
                  <c:v>Wheeler Center - Geo</c:v>
                </c:pt>
                <c:pt idx="12">
                  <c:v>Wheeler Maintenance (S) - Existing</c:v>
                </c:pt>
                <c:pt idx="13">
                  <c:v>Wheeler Maintenance (S) - Geo</c:v>
                </c:pt>
                <c:pt idx="14">
                  <c:v>Wheeler Vehicle Storage (E) - Existing</c:v>
                </c:pt>
                <c:pt idx="15">
                  <c:v>Wheeler Vehicle Storage (E) - Geo</c:v>
                </c:pt>
              </c:strCache>
            </c:strRef>
          </c:cat>
          <c:val>
            <c:numRef>
              <c:f>'Neighborhood - TMY3'!$C$24:$R$24</c:f>
              <c:numCache>
                <c:formatCode>#,##0.0</c:formatCode>
                <c:ptCount val="16"/>
                <c:pt idx="0">
                  <c:v>2.8661496566610816</c:v>
                </c:pt>
                <c:pt idx="1">
                  <c:v>2.8661496566610816</c:v>
                </c:pt>
                <c:pt idx="4">
                  <c:v>8.3462056578356538</c:v>
                </c:pt>
                <c:pt idx="5">
                  <c:v>8.3462056578356538</c:v>
                </c:pt>
                <c:pt idx="6">
                  <c:v>8.6401813974187807</c:v>
                </c:pt>
                <c:pt idx="7">
                  <c:v>8.6401813974187807</c:v>
                </c:pt>
                <c:pt idx="8">
                  <c:v>7.4719048532514867</c:v>
                </c:pt>
                <c:pt idx="9">
                  <c:v>7.4719048532514867</c:v>
                </c:pt>
                <c:pt idx="10">
                  <c:v>5.898783264150139</c:v>
                </c:pt>
                <c:pt idx="11">
                  <c:v>5.898783264150139</c:v>
                </c:pt>
                <c:pt idx="12">
                  <c:v>5.8987824193693763</c:v>
                </c:pt>
                <c:pt idx="13">
                  <c:v>5.8987824193693763</c:v>
                </c:pt>
                <c:pt idx="14">
                  <c:v>5.8988341777027227</c:v>
                </c:pt>
                <c:pt idx="15">
                  <c:v>5.8988341777027227</c:v>
                </c:pt>
              </c:numCache>
            </c:numRef>
          </c:val>
          <c:extLst>
            <c:ext xmlns:c16="http://schemas.microsoft.com/office/drawing/2014/chart" uri="{C3380CC4-5D6E-409C-BE32-E72D297353CC}">
              <c16:uniqueId val="{00000000-9695-43B9-B02F-8338AD7012A6}"/>
            </c:ext>
          </c:extLst>
        </c:ser>
        <c:ser>
          <c:idx val="1"/>
          <c:order val="1"/>
          <c:tx>
            <c:strRef>
              <c:f>'Neighborhood - TMY3'!$B$25</c:f>
              <c:strCache>
                <c:ptCount val="1"/>
                <c:pt idx="0">
                  <c:v>Heating</c:v>
                </c:pt>
              </c:strCache>
            </c:strRef>
          </c:tx>
          <c:spPr>
            <a:solidFill>
              <a:schemeClr val="accent2"/>
            </a:solidFill>
            <a:ln>
              <a:noFill/>
            </a:ln>
            <a:effectLst/>
          </c:spPr>
          <c:invertIfNegative val="0"/>
          <c:cat>
            <c:strRef>
              <c:f>'Neighborhood - TMY3'!$C$23:$R$23</c:f>
              <c:strCache>
                <c:ptCount val="16"/>
                <c:pt idx="0">
                  <c:v>262 Homes - Existing</c:v>
                </c:pt>
                <c:pt idx="1">
                  <c:v>262 Homes - Geo</c:v>
                </c:pt>
                <c:pt idx="2">
                  <c:v>262 Homes - Geo + Wx</c:v>
                </c:pt>
                <c:pt idx="3">
                  <c:v>262 Homes - Geo + PV + Wx</c:v>
                </c:pt>
                <c:pt idx="4">
                  <c:v>Community Center - Existing</c:v>
                </c:pt>
                <c:pt idx="5">
                  <c:v>Community Center - Geo</c:v>
                </c:pt>
                <c:pt idx="6">
                  <c:v>Bryant Elementary - Existing</c:v>
                </c:pt>
                <c:pt idx="7">
                  <c:v>Bryant Elementary - Geo</c:v>
                </c:pt>
                <c:pt idx="8">
                  <c:v>County Health - Existing</c:v>
                </c:pt>
                <c:pt idx="9">
                  <c:v>County Health - Geo</c:v>
                </c:pt>
                <c:pt idx="10">
                  <c:v>Wheeler Center - Existing</c:v>
                </c:pt>
                <c:pt idx="11">
                  <c:v>Wheeler Center - Geo</c:v>
                </c:pt>
                <c:pt idx="12">
                  <c:v>Wheeler Maintenance (S) - Existing</c:v>
                </c:pt>
                <c:pt idx="13">
                  <c:v>Wheeler Maintenance (S) - Geo</c:v>
                </c:pt>
                <c:pt idx="14">
                  <c:v>Wheeler Vehicle Storage (E) - Existing</c:v>
                </c:pt>
                <c:pt idx="15">
                  <c:v>Wheeler Vehicle Storage (E) - Geo</c:v>
                </c:pt>
              </c:strCache>
            </c:strRef>
          </c:cat>
          <c:val>
            <c:numRef>
              <c:f>'Neighborhood - TMY3'!$C$25:$R$25</c:f>
              <c:numCache>
                <c:formatCode>#,##0.0</c:formatCode>
                <c:ptCount val="16"/>
                <c:pt idx="0">
                  <c:v>73.382691301927309</c:v>
                </c:pt>
                <c:pt idx="1">
                  <c:v>15.690204301797026</c:v>
                </c:pt>
                <c:pt idx="4">
                  <c:v>70.794524023349794</c:v>
                </c:pt>
                <c:pt idx="5">
                  <c:v>14.396962281095645</c:v>
                </c:pt>
                <c:pt idx="6">
                  <c:v>30.158019403649309</c:v>
                </c:pt>
                <c:pt idx="7">
                  <c:v>10.644025990209169</c:v>
                </c:pt>
                <c:pt idx="8">
                  <c:v>30.788740328665515</c:v>
                </c:pt>
                <c:pt idx="9">
                  <c:v>10.866633775839444</c:v>
                </c:pt>
                <c:pt idx="10">
                  <c:v>34.340988801189887</c:v>
                </c:pt>
                <c:pt idx="11">
                  <c:v>12.119778658432857</c:v>
                </c:pt>
                <c:pt idx="12">
                  <c:v>29.339525529901305</c:v>
                </c:pt>
                <c:pt idx="13">
                  <c:v>10.355568104867803</c:v>
                </c:pt>
                <c:pt idx="14">
                  <c:v>35.709491897016562</c:v>
                </c:pt>
                <c:pt idx="15">
                  <c:v>12.603372746786361</c:v>
                </c:pt>
              </c:numCache>
            </c:numRef>
          </c:val>
          <c:extLst>
            <c:ext xmlns:c16="http://schemas.microsoft.com/office/drawing/2014/chart" uri="{C3380CC4-5D6E-409C-BE32-E72D297353CC}">
              <c16:uniqueId val="{00000001-9695-43B9-B02F-8338AD7012A6}"/>
            </c:ext>
          </c:extLst>
        </c:ser>
        <c:ser>
          <c:idx val="2"/>
          <c:order val="2"/>
          <c:tx>
            <c:strRef>
              <c:f>'Neighborhood - TMY3'!$B$26</c:f>
              <c:strCache>
                <c:ptCount val="1"/>
                <c:pt idx="0">
                  <c:v>Cooling</c:v>
                </c:pt>
              </c:strCache>
            </c:strRef>
          </c:tx>
          <c:spPr>
            <a:solidFill>
              <a:schemeClr val="accent3"/>
            </a:solidFill>
            <a:ln>
              <a:noFill/>
            </a:ln>
            <a:effectLst/>
          </c:spPr>
          <c:invertIfNegative val="0"/>
          <c:cat>
            <c:strRef>
              <c:f>'Neighborhood - TMY3'!$C$23:$R$23</c:f>
              <c:strCache>
                <c:ptCount val="16"/>
                <c:pt idx="0">
                  <c:v>262 Homes - Existing</c:v>
                </c:pt>
                <c:pt idx="1">
                  <c:v>262 Homes - Geo</c:v>
                </c:pt>
                <c:pt idx="2">
                  <c:v>262 Homes - Geo + Wx</c:v>
                </c:pt>
                <c:pt idx="3">
                  <c:v>262 Homes - Geo + PV + Wx</c:v>
                </c:pt>
                <c:pt idx="4">
                  <c:v>Community Center - Existing</c:v>
                </c:pt>
                <c:pt idx="5">
                  <c:v>Community Center - Geo</c:v>
                </c:pt>
                <c:pt idx="6">
                  <c:v>Bryant Elementary - Existing</c:v>
                </c:pt>
                <c:pt idx="7">
                  <c:v>Bryant Elementary - Geo</c:v>
                </c:pt>
                <c:pt idx="8">
                  <c:v>County Health - Existing</c:v>
                </c:pt>
                <c:pt idx="9">
                  <c:v>County Health - Geo</c:v>
                </c:pt>
                <c:pt idx="10">
                  <c:v>Wheeler Center - Existing</c:v>
                </c:pt>
                <c:pt idx="11">
                  <c:v>Wheeler Center - Geo</c:v>
                </c:pt>
                <c:pt idx="12">
                  <c:v>Wheeler Maintenance (S) - Existing</c:v>
                </c:pt>
                <c:pt idx="13">
                  <c:v>Wheeler Maintenance (S) - Geo</c:v>
                </c:pt>
                <c:pt idx="14">
                  <c:v>Wheeler Vehicle Storage (E) - Existing</c:v>
                </c:pt>
                <c:pt idx="15">
                  <c:v>Wheeler Vehicle Storage (E) - Geo</c:v>
                </c:pt>
              </c:strCache>
            </c:strRef>
          </c:cat>
          <c:val>
            <c:numRef>
              <c:f>'Neighborhood - TMY3'!$C$26:$R$26</c:f>
              <c:numCache>
                <c:formatCode>#,##0.0</c:formatCode>
                <c:ptCount val="16"/>
                <c:pt idx="0">
                  <c:v>7.4160544785349209</c:v>
                </c:pt>
                <c:pt idx="1">
                  <c:v>5.0876736067203288</c:v>
                </c:pt>
                <c:pt idx="4">
                  <c:v>9.8665559048046703</c:v>
                </c:pt>
                <c:pt idx="5">
                  <c:v>8.5774427480916025</c:v>
                </c:pt>
                <c:pt idx="6">
                  <c:v>5.0780970182465506</c:v>
                </c:pt>
                <c:pt idx="7">
                  <c:v>4.2468735202492214</c:v>
                </c:pt>
                <c:pt idx="8">
                  <c:v>4.1893576955048273</c:v>
                </c:pt>
                <c:pt idx="9">
                  <c:v>3.5036101515908329</c:v>
                </c:pt>
                <c:pt idx="10">
                  <c:v>6.2767003609153242</c:v>
                </c:pt>
                <c:pt idx="11">
                  <c:v>5.249279889992013</c:v>
                </c:pt>
                <c:pt idx="12">
                  <c:v>2.4440909056768163</c:v>
                </c:pt>
                <c:pt idx="13">
                  <c:v>2.0440225759973565</c:v>
                </c:pt>
                <c:pt idx="14">
                  <c:v>0</c:v>
                </c:pt>
                <c:pt idx="15">
                  <c:v>0</c:v>
                </c:pt>
              </c:numCache>
            </c:numRef>
          </c:val>
          <c:extLst>
            <c:ext xmlns:c16="http://schemas.microsoft.com/office/drawing/2014/chart" uri="{C3380CC4-5D6E-409C-BE32-E72D297353CC}">
              <c16:uniqueId val="{00000002-9695-43B9-B02F-8338AD7012A6}"/>
            </c:ext>
          </c:extLst>
        </c:ser>
        <c:ser>
          <c:idx val="3"/>
          <c:order val="3"/>
          <c:tx>
            <c:strRef>
              <c:f>'Neighborhood - TMY3'!$B$27</c:f>
              <c:strCache>
                <c:ptCount val="1"/>
                <c:pt idx="0">
                  <c:v>Pumps</c:v>
                </c:pt>
              </c:strCache>
            </c:strRef>
          </c:tx>
          <c:spPr>
            <a:solidFill>
              <a:schemeClr val="accent4"/>
            </a:solidFill>
            <a:ln>
              <a:noFill/>
            </a:ln>
            <a:effectLst/>
          </c:spPr>
          <c:invertIfNegative val="0"/>
          <c:cat>
            <c:strRef>
              <c:f>'Neighborhood - TMY3'!$C$23:$R$23</c:f>
              <c:strCache>
                <c:ptCount val="16"/>
                <c:pt idx="0">
                  <c:v>262 Homes - Existing</c:v>
                </c:pt>
                <c:pt idx="1">
                  <c:v>262 Homes - Geo</c:v>
                </c:pt>
                <c:pt idx="2">
                  <c:v>262 Homes - Geo + Wx</c:v>
                </c:pt>
                <c:pt idx="3">
                  <c:v>262 Homes - Geo + PV + Wx</c:v>
                </c:pt>
                <c:pt idx="4">
                  <c:v>Community Center - Existing</c:v>
                </c:pt>
                <c:pt idx="5">
                  <c:v>Community Center - Geo</c:v>
                </c:pt>
                <c:pt idx="6">
                  <c:v>Bryant Elementary - Existing</c:v>
                </c:pt>
                <c:pt idx="7">
                  <c:v>Bryant Elementary - Geo</c:v>
                </c:pt>
                <c:pt idx="8">
                  <c:v>County Health - Existing</c:v>
                </c:pt>
                <c:pt idx="9">
                  <c:v>County Health - Geo</c:v>
                </c:pt>
                <c:pt idx="10">
                  <c:v>Wheeler Center - Existing</c:v>
                </c:pt>
                <c:pt idx="11">
                  <c:v>Wheeler Center - Geo</c:v>
                </c:pt>
                <c:pt idx="12">
                  <c:v>Wheeler Maintenance (S) - Existing</c:v>
                </c:pt>
                <c:pt idx="13">
                  <c:v>Wheeler Maintenance (S) - Geo</c:v>
                </c:pt>
                <c:pt idx="14">
                  <c:v>Wheeler Vehicle Storage (E) - Existing</c:v>
                </c:pt>
                <c:pt idx="15">
                  <c:v>Wheeler Vehicle Storage (E) - Geo</c:v>
                </c:pt>
              </c:strCache>
            </c:strRef>
          </c:cat>
          <c:val>
            <c:numRef>
              <c:f>'Neighborhood - TMY3'!$C$27:$R$27</c:f>
              <c:numCache>
                <c:formatCode>#,##0.0</c:formatCode>
                <c:ptCount val="16"/>
                <c:pt idx="0">
                  <c:v>1.0374741571325631E-3</c:v>
                </c:pt>
                <c:pt idx="1">
                  <c:v>0.41499017550661454</c:v>
                </c:pt>
                <c:pt idx="4">
                  <c:v>3.5024696901661431E-4</c:v>
                </c:pt>
                <c:pt idx="5">
                  <c:v>4.0504602604400537</c:v>
                </c:pt>
                <c:pt idx="6">
                  <c:v>5.4668446817979525E-4</c:v>
                </c:pt>
                <c:pt idx="7">
                  <c:v>3.1223860703159771</c:v>
                </c:pt>
                <c:pt idx="8">
                  <c:v>7.4333397276040672E-4</c:v>
                </c:pt>
                <c:pt idx="9">
                  <c:v>3.1223860703159771</c:v>
                </c:pt>
                <c:pt idx="10">
                  <c:v>7.0948496447431134E-3</c:v>
                </c:pt>
                <c:pt idx="11">
                  <c:v>3.1223860703159771</c:v>
                </c:pt>
                <c:pt idx="12">
                  <c:v>4.7431987862218148E-3</c:v>
                </c:pt>
                <c:pt idx="13">
                  <c:v>3.1223860703159771</c:v>
                </c:pt>
                <c:pt idx="14">
                  <c:v>5.9950226646520311E-4</c:v>
                </c:pt>
                <c:pt idx="15">
                  <c:v>3.1223860703159771</c:v>
                </c:pt>
              </c:numCache>
            </c:numRef>
          </c:val>
          <c:extLst>
            <c:ext xmlns:c16="http://schemas.microsoft.com/office/drawing/2014/chart" uri="{C3380CC4-5D6E-409C-BE32-E72D297353CC}">
              <c16:uniqueId val="{00000003-9695-43B9-B02F-8338AD7012A6}"/>
            </c:ext>
          </c:extLst>
        </c:ser>
        <c:ser>
          <c:idx val="4"/>
          <c:order val="4"/>
          <c:tx>
            <c:strRef>
              <c:f>'Neighborhood - TMY3'!$B$28</c:f>
              <c:strCache>
                <c:ptCount val="1"/>
                <c:pt idx="0">
                  <c:v>Fans</c:v>
                </c:pt>
              </c:strCache>
            </c:strRef>
          </c:tx>
          <c:spPr>
            <a:solidFill>
              <a:schemeClr val="accent5"/>
            </a:solidFill>
            <a:ln>
              <a:noFill/>
            </a:ln>
            <a:effectLst/>
          </c:spPr>
          <c:invertIfNegative val="0"/>
          <c:cat>
            <c:strRef>
              <c:f>'Neighborhood - TMY3'!$C$23:$R$23</c:f>
              <c:strCache>
                <c:ptCount val="16"/>
                <c:pt idx="0">
                  <c:v>262 Homes - Existing</c:v>
                </c:pt>
                <c:pt idx="1">
                  <c:v>262 Homes - Geo</c:v>
                </c:pt>
                <c:pt idx="2">
                  <c:v>262 Homes - Geo + Wx</c:v>
                </c:pt>
                <c:pt idx="3">
                  <c:v>262 Homes - Geo + PV + Wx</c:v>
                </c:pt>
                <c:pt idx="4">
                  <c:v>Community Center - Existing</c:v>
                </c:pt>
                <c:pt idx="5">
                  <c:v>Community Center - Geo</c:v>
                </c:pt>
                <c:pt idx="6">
                  <c:v>Bryant Elementary - Existing</c:v>
                </c:pt>
                <c:pt idx="7">
                  <c:v>Bryant Elementary - Geo</c:v>
                </c:pt>
                <c:pt idx="8">
                  <c:v>County Health - Existing</c:v>
                </c:pt>
                <c:pt idx="9">
                  <c:v>County Health - Geo</c:v>
                </c:pt>
                <c:pt idx="10">
                  <c:v>Wheeler Center - Existing</c:v>
                </c:pt>
                <c:pt idx="11">
                  <c:v>Wheeler Center - Geo</c:v>
                </c:pt>
                <c:pt idx="12">
                  <c:v>Wheeler Maintenance (S) - Existing</c:v>
                </c:pt>
                <c:pt idx="13">
                  <c:v>Wheeler Maintenance (S) - Geo</c:v>
                </c:pt>
                <c:pt idx="14">
                  <c:v>Wheeler Vehicle Storage (E) - Existing</c:v>
                </c:pt>
                <c:pt idx="15">
                  <c:v>Wheeler Vehicle Storage (E) - Geo</c:v>
                </c:pt>
              </c:strCache>
            </c:strRef>
          </c:cat>
          <c:val>
            <c:numRef>
              <c:f>'Neighborhood - TMY3'!$C$28:$R$28</c:f>
              <c:numCache>
                <c:formatCode>#,##0.0</c:formatCode>
                <c:ptCount val="16"/>
                <c:pt idx="0">
                  <c:v>8.0651785950675983</c:v>
                </c:pt>
                <c:pt idx="1">
                  <c:v>3.3967605670322367</c:v>
                </c:pt>
                <c:pt idx="4">
                  <c:v>8.3858756174225419</c:v>
                </c:pt>
                <c:pt idx="5">
                  <c:v>4.4367265379434215</c:v>
                </c:pt>
                <c:pt idx="6">
                  <c:v>3.2730399643969736</c:v>
                </c:pt>
                <c:pt idx="7">
                  <c:v>2.1660859813084112</c:v>
                </c:pt>
                <c:pt idx="8">
                  <c:v>2.9046236971673385</c:v>
                </c:pt>
                <c:pt idx="9">
                  <c:v>1.9222694314304101</c:v>
                </c:pt>
                <c:pt idx="10">
                  <c:v>8.4986980691250569</c:v>
                </c:pt>
                <c:pt idx="11">
                  <c:v>5.6244075682394907</c:v>
                </c:pt>
                <c:pt idx="12">
                  <c:v>18.22684873965359</c:v>
                </c:pt>
                <c:pt idx="13">
                  <c:v>12.062462410435771</c:v>
                </c:pt>
                <c:pt idx="14">
                  <c:v>17.10108671821764</c:v>
                </c:pt>
                <c:pt idx="15">
                  <c:v>11.317437186348382</c:v>
                </c:pt>
              </c:numCache>
            </c:numRef>
          </c:val>
          <c:extLst>
            <c:ext xmlns:c16="http://schemas.microsoft.com/office/drawing/2014/chart" uri="{C3380CC4-5D6E-409C-BE32-E72D297353CC}">
              <c16:uniqueId val="{00000004-9695-43B9-B02F-8338AD7012A6}"/>
            </c:ext>
          </c:extLst>
        </c:ser>
        <c:ser>
          <c:idx val="5"/>
          <c:order val="5"/>
          <c:tx>
            <c:strRef>
              <c:f>'Neighborhood - TMY3'!$B$29</c:f>
              <c:strCache>
                <c:ptCount val="1"/>
                <c:pt idx="0">
                  <c:v>Receptacles</c:v>
                </c:pt>
              </c:strCache>
            </c:strRef>
          </c:tx>
          <c:spPr>
            <a:solidFill>
              <a:schemeClr val="accent6"/>
            </a:solidFill>
            <a:ln>
              <a:noFill/>
            </a:ln>
            <a:effectLst/>
          </c:spPr>
          <c:invertIfNegative val="0"/>
          <c:cat>
            <c:strRef>
              <c:f>'Neighborhood - TMY3'!$C$23:$R$23</c:f>
              <c:strCache>
                <c:ptCount val="16"/>
                <c:pt idx="0">
                  <c:v>262 Homes - Existing</c:v>
                </c:pt>
                <c:pt idx="1">
                  <c:v>262 Homes - Geo</c:v>
                </c:pt>
                <c:pt idx="2">
                  <c:v>262 Homes - Geo + Wx</c:v>
                </c:pt>
                <c:pt idx="3">
                  <c:v>262 Homes - Geo + PV + Wx</c:v>
                </c:pt>
                <c:pt idx="4">
                  <c:v>Community Center - Existing</c:v>
                </c:pt>
                <c:pt idx="5">
                  <c:v>Community Center - Geo</c:v>
                </c:pt>
                <c:pt idx="6">
                  <c:v>Bryant Elementary - Existing</c:v>
                </c:pt>
                <c:pt idx="7">
                  <c:v>Bryant Elementary - Geo</c:v>
                </c:pt>
                <c:pt idx="8">
                  <c:v>County Health - Existing</c:v>
                </c:pt>
                <c:pt idx="9">
                  <c:v>County Health - Geo</c:v>
                </c:pt>
                <c:pt idx="10">
                  <c:v>Wheeler Center - Existing</c:v>
                </c:pt>
                <c:pt idx="11">
                  <c:v>Wheeler Center - Geo</c:v>
                </c:pt>
                <c:pt idx="12">
                  <c:v>Wheeler Maintenance (S) - Existing</c:v>
                </c:pt>
                <c:pt idx="13">
                  <c:v>Wheeler Maintenance (S) - Geo</c:v>
                </c:pt>
                <c:pt idx="14">
                  <c:v>Wheeler Vehicle Storage (E) - Existing</c:v>
                </c:pt>
                <c:pt idx="15">
                  <c:v>Wheeler Vehicle Storage (E) - Geo</c:v>
                </c:pt>
              </c:strCache>
            </c:strRef>
          </c:cat>
          <c:val>
            <c:numRef>
              <c:f>'Neighborhood - TMY3'!$C$29:$R$29</c:f>
              <c:numCache>
                <c:formatCode>#,##0.0</c:formatCode>
                <c:ptCount val="16"/>
                <c:pt idx="0">
                  <c:v>10.279137099655712</c:v>
                </c:pt>
                <c:pt idx="1">
                  <c:v>10.279137099655712</c:v>
                </c:pt>
                <c:pt idx="4">
                  <c:v>9.1584710372698694</c:v>
                </c:pt>
                <c:pt idx="5">
                  <c:v>9.1584710372698694</c:v>
                </c:pt>
                <c:pt idx="6">
                  <c:v>5.8465055629728528</c:v>
                </c:pt>
                <c:pt idx="7">
                  <c:v>5.8465055629728528</c:v>
                </c:pt>
                <c:pt idx="8">
                  <c:v>10.188866615512501</c:v>
                </c:pt>
                <c:pt idx="9">
                  <c:v>10.188866615512501</c:v>
                </c:pt>
                <c:pt idx="10">
                  <c:v>11.417891151230233</c:v>
                </c:pt>
                <c:pt idx="11">
                  <c:v>11.417891151230233</c:v>
                </c:pt>
                <c:pt idx="12">
                  <c:v>11.417889473703976</c:v>
                </c:pt>
                <c:pt idx="13">
                  <c:v>11.417889473703976</c:v>
                </c:pt>
                <c:pt idx="14">
                  <c:v>11.417989512043375</c:v>
                </c:pt>
                <c:pt idx="15">
                  <c:v>11.417989512043375</c:v>
                </c:pt>
              </c:numCache>
            </c:numRef>
          </c:val>
          <c:extLst>
            <c:ext xmlns:c16="http://schemas.microsoft.com/office/drawing/2014/chart" uri="{C3380CC4-5D6E-409C-BE32-E72D297353CC}">
              <c16:uniqueId val="{00000005-9695-43B9-B02F-8338AD7012A6}"/>
            </c:ext>
          </c:extLst>
        </c:ser>
        <c:ser>
          <c:idx val="6"/>
          <c:order val="6"/>
          <c:tx>
            <c:strRef>
              <c:f>'Neighborhood - TMY3'!$B$30</c:f>
              <c:strCache>
                <c:ptCount val="1"/>
                <c:pt idx="0">
                  <c:v>DHW</c:v>
                </c:pt>
              </c:strCache>
            </c:strRef>
          </c:tx>
          <c:spPr>
            <a:solidFill>
              <a:schemeClr val="accent1">
                <a:lumMod val="60000"/>
              </a:schemeClr>
            </a:solidFill>
            <a:ln>
              <a:noFill/>
            </a:ln>
            <a:effectLst/>
          </c:spPr>
          <c:invertIfNegative val="0"/>
          <c:cat>
            <c:strRef>
              <c:f>'Neighborhood - TMY3'!$C$23:$R$23</c:f>
              <c:strCache>
                <c:ptCount val="16"/>
                <c:pt idx="0">
                  <c:v>262 Homes - Existing</c:v>
                </c:pt>
                <c:pt idx="1">
                  <c:v>262 Homes - Geo</c:v>
                </c:pt>
                <c:pt idx="2">
                  <c:v>262 Homes - Geo + Wx</c:v>
                </c:pt>
                <c:pt idx="3">
                  <c:v>262 Homes - Geo + PV + Wx</c:v>
                </c:pt>
                <c:pt idx="4">
                  <c:v>Community Center - Existing</c:v>
                </c:pt>
                <c:pt idx="5">
                  <c:v>Community Center - Geo</c:v>
                </c:pt>
                <c:pt idx="6">
                  <c:v>Bryant Elementary - Existing</c:v>
                </c:pt>
                <c:pt idx="7">
                  <c:v>Bryant Elementary - Geo</c:v>
                </c:pt>
                <c:pt idx="8">
                  <c:v>County Health - Existing</c:v>
                </c:pt>
                <c:pt idx="9">
                  <c:v>County Health - Geo</c:v>
                </c:pt>
                <c:pt idx="10">
                  <c:v>Wheeler Center - Existing</c:v>
                </c:pt>
                <c:pt idx="11">
                  <c:v>Wheeler Center - Geo</c:v>
                </c:pt>
                <c:pt idx="12">
                  <c:v>Wheeler Maintenance (S) - Existing</c:v>
                </c:pt>
                <c:pt idx="13">
                  <c:v>Wheeler Maintenance (S) - Geo</c:v>
                </c:pt>
                <c:pt idx="14">
                  <c:v>Wheeler Vehicle Storage (E) - Existing</c:v>
                </c:pt>
                <c:pt idx="15">
                  <c:v>Wheeler Vehicle Storage (E) - Geo</c:v>
                </c:pt>
              </c:strCache>
            </c:strRef>
          </c:cat>
          <c:val>
            <c:numRef>
              <c:f>'Neighborhood - TMY3'!$C$30:$R$30</c:f>
              <c:numCache>
                <c:formatCode>#,##0.0</c:formatCode>
                <c:ptCount val="16"/>
                <c:pt idx="0">
                  <c:v>8.8102433473171562</c:v>
                </c:pt>
                <c:pt idx="1">
                  <c:v>8.8097157925968546</c:v>
                </c:pt>
                <c:pt idx="4">
                  <c:v>2.9049259092950157</c:v>
                </c:pt>
                <c:pt idx="5">
                  <c:v>2.9091109115401887</c:v>
                </c:pt>
                <c:pt idx="6">
                  <c:v>3.8429651980418336</c:v>
                </c:pt>
                <c:pt idx="7">
                  <c:v>3.8422114819759683</c:v>
                </c:pt>
                <c:pt idx="8">
                  <c:v>5.1927677600869622</c:v>
                </c:pt>
                <c:pt idx="9">
                  <c:v>5.1927677600869622</c:v>
                </c:pt>
                <c:pt idx="10">
                  <c:v>4.9933007511761467</c:v>
                </c:pt>
                <c:pt idx="11">
                  <c:v>4.9933007511761467</c:v>
                </c:pt>
                <c:pt idx="12">
                  <c:v>5.0049107880544996</c:v>
                </c:pt>
                <c:pt idx="13">
                  <c:v>5.0049107880544996</c:v>
                </c:pt>
                <c:pt idx="14">
                  <c:v>4.9723272005451369</c:v>
                </c:pt>
                <c:pt idx="15">
                  <c:v>4.9723272005451369</c:v>
                </c:pt>
              </c:numCache>
            </c:numRef>
          </c:val>
          <c:extLst>
            <c:ext xmlns:c16="http://schemas.microsoft.com/office/drawing/2014/chart" uri="{C3380CC4-5D6E-409C-BE32-E72D297353CC}">
              <c16:uniqueId val="{00000006-9695-43B9-B02F-8338AD7012A6}"/>
            </c:ext>
          </c:extLst>
        </c:ser>
        <c:dLbls>
          <c:showLegendKey val="0"/>
          <c:showVal val="0"/>
          <c:showCatName val="0"/>
          <c:showSerName val="0"/>
          <c:showPercent val="0"/>
          <c:showBubbleSize val="0"/>
        </c:dLbls>
        <c:gapWidth val="150"/>
        <c:overlap val="100"/>
        <c:axId val="1219553984"/>
        <c:axId val="1219555952"/>
        <c:extLst>
          <c:ext xmlns:c15="http://schemas.microsoft.com/office/drawing/2012/chart" uri="{02D57815-91ED-43cb-92C2-25804820EDAC}">
            <c15:filteredBarSeries>
              <c15:ser>
                <c:idx val="7"/>
                <c:order val="7"/>
                <c:tx>
                  <c:strRef>
                    <c:extLst>
                      <c:ext uri="{02D57815-91ED-43cb-92C2-25804820EDAC}">
                        <c15:formulaRef>
                          <c15:sqref>'Neighborhood - TMY3'!$B$31</c15:sqref>
                        </c15:formulaRef>
                      </c:ext>
                    </c:extLst>
                    <c:strCache>
                      <c:ptCount val="1"/>
                      <c:pt idx="0">
                        <c:v>EUI</c:v>
                      </c:pt>
                    </c:strCache>
                  </c:strRef>
                </c:tx>
                <c:spPr>
                  <a:pattFill prst="ltUpDiag">
                    <a:fgClr>
                      <a:schemeClr val="accent3"/>
                    </a:fgClr>
                    <a:bgClr>
                      <a:schemeClr val="bg1"/>
                    </a:bgClr>
                  </a:pattFill>
                  <a:ln>
                    <a:noFill/>
                  </a:ln>
                  <a:effectLst/>
                </c:spPr>
                <c:invertIfNegative val="0"/>
                <c:dLbls>
                  <c:dLbl>
                    <c:idx val="0"/>
                    <c:tx>
                      <c:rich>
                        <a:bodyPr/>
                        <a:lstStyle/>
                        <a:p>
                          <a:fld id="{3B7C01DF-CBFD-4C40-8336-5D1BBA55D983}"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7-9695-43B9-B02F-8338AD7012A6}"/>
                      </c:ext>
                    </c:extLst>
                  </c:dLbl>
                  <c:dLbl>
                    <c:idx val="1"/>
                    <c:tx>
                      <c:rich>
                        <a:bodyPr/>
                        <a:lstStyle/>
                        <a:p>
                          <a:fld id="{BF6B6589-F60B-4A7D-9F34-2A4829109138}"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8-9695-43B9-B02F-8338AD7012A6}"/>
                      </c:ext>
                    </c:extLst>
                  </c:dLbl>
                  <c:dLbl>
                    <c:idx val="2"/>
                    <c:tx>
                      <c:rich>
                        <a:bodyPr/>
                        <a:lstStyle/>
                        <a:p>
                          <a:fld id="{2D51711B-AAD4-4B61-9831-4DCF34532D26}"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9-9695-43B9-B02F-8338AD7012A6}"/>
                      </c:ext>
                    </c:extLst>
                  </c:dLbl>
                  <c:dLbl>
                    <c:idx val="3"/>
                    <c:tx>
                      <c:rich>
                        <a:bodyPr/>
                        <a:lstStyle/>
                        <a:p>
                          <a:fld id="{1573EFC4-258C-466F-911E-8FB4E4EE806A}"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A-9695-43B9-B02F-8338AD7012A6}"/>
                      </c:ext>
                    </c:extLst>
                  </c:dLbl>
                  <c:dLbl>
                    <c:idx val="4"/>
                    <c:tx>
                      <c:rich>
                        <a:bodyPr/>
                        <a:lstStyle/>
                        <a:p>
                          <a:fld id="{D80428F6-8050-42B8-A4CE-2FA294A79BDF}"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0-9BAE-47E7-92C7-118E3DAC32C3}"/>
                      </c:ext>
                    </c:extLst>
                  </c:dLbl>
                  <c:dLbl>
                    <c:idx val="5"/>
                    <c:tx>
                      <c:rich>
                        <a:bodyPr/>
                        <a:lstStyle/>
                        <a:p>
                          <a:fld id="{5A2145E1-C8DF-4A7F-9CD7-91C8CA2648F2}"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1-9BAE-47E7-92C7-118E3DAC32C3}"/>
                      </c:ext>
                    </c:extLst>
                  </c:dLbl>
                  <c:dLbl>
                    <c:idx val="6"/>
                    <c:tx>
                      <c:rich>
                        <a:bodyPr/>
                        <a:lstStyle/>
                        <a:p>
                          <a:fld id="{E7026249-1424-4278-B002-ABB5DC4A4C4C}"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0-02BA-4652-A77F-2D5A88124E87}"/>
                      </c:ext>
                    </c:extLst>
                  </c:dLbl>
                  <c:dLbl>
                    <c:idx val="7"/>
                    <c:tx>
                      <c:rich>
                        <a:bodyPr/>
                        <a:lstStyle/>
                        <a:p>
                          <a:fld id="{842F94AD-2051-4746-9660-D8AC20CE1749}"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1-02BA-4652-A77F-2D5A88124E87}"/>
                      </c:ext>
                    </c:extLst>
                  </c:dLbl>
                  <c:dLbl>
                    <c:idx val="8"/>
                    <c:tx>
                      <c:rich>
                        <a:bodyPr/>
                        <a:lstStyle/>
                        <a:p>
                          <a:fld id="{61430D88-8C28-49D4-8412-EDDD0A418488}"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2-02BA-4652-A77F-2D5A88124E87}"/>
                      </c:ext>
                    </c:extLst>
                  </c:dLbl>
                  <c:dLbl>
                    <c:idx val="9"/>
                    <c:tx>
                      <c:rich>
                        <a:bodyPr/>
                        <a:lstStyle/>
                        <a:p>
                          <a:endParaRPr lang="en-US"/>
                        </a:p>
                      </c:rich>
                    </c:tx>
                    <c:dLblPos val="ctr"/>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03-02BA-4652-A77F-2D5A88124E87}"/>
                      </c:ext>
                    </c:extLst>
                  </c:dLbl>
                  <c:dLbl>
                    <c:idx val="10"/>
                    <c:tx>
                      <c:rich>
                        <a:bodyPr/>
                        <a:lstStyle/>
                        <a:p>
                          <a:endParaRPr lang="en-US"/>
                        </a:p>
                      </c:rich>
                    </c:tx>
                    <c:dLblPos val="ctr"/>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04-02BA-4652-A77F-2D5A88124E87}"/>
                      </c:ext>
                    </c:extLst>
                  </c:dLbl>
                  <c:dLbl>
                    <c:idx val="11"/>
                    <c:tx>
                      <c:rich>
                        <a:bodyPr/>
                        <a:lstStyle/>
                        <a:p>
                          <a:endParaRPr lang="en-US"/>
                        </a:p>
                      </c:rich>
                    </c:tx>
                    <c:dLblPos val="ctr"/>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05-02BA-4652-A77F-2D5A88124E87}"/>
                      </c:ext>
                    </c:extLst>
                  </c:dLbl>
                  <c:dLbl>
                    <c:idx val="12"/>
                    <c:tx>
                      <c:rich>
                        <a:bodyPr/>
                        <a:lstStyle/>
                        <a:p>
                          <a:endParaRPr lang="en-US"/>
                        </a:p>
                      </c:rich>
                    </c:tx>
                    <c:dLblPos val="ctr"/>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06-02BA-4652-A77F-2D5A88124E87}"/>
                      </c:ext>
                    </c:extLst>
                  </c:dLbl>
                  <c:dLbl>
                    <c:idx val="13"/>
                    <c:tx>
                      <c:rich>
                        <a:bodyPr/>
                        <a:lstStyle/>
                        <a:p>
                          <a:endParaRPr lang="en-US"/>
                        </a:p>
                      </c:rich>
                    </c:tx>
                    <c:dLblPos val="ctr"/>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07-02BA-4652-A77F-2D5A88124E87}"/>
                      </c:ext>
                    </c:extLst>
                  </c:dLbl>
                  <c:dLbl>
                    <c:idx val="14"/>
                    <c:tx>
                      <c:rich>
                        <a:bodyPr/>
                        <a:lstStyle/>
                        <a:p>
                          <a:endParaRPr lang="en-US"/>
                        </a:p>
                      </c:rich>
                    </c:tx>
                    <c:dLblPos val="ctr"/>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00-7598-4865-BA05-FCC26E0EA48F}"/>
                      </c:ext>
                    </c:extLst>
                  </c:dLbl>
                  <c:dLbl>
                    <c:idx val="15"/>
                    <c:tx>
                      <c:rich>
                        <a:bodyPr/>
                        <a:lstStyle/>
                        <a:p>
                          <a:endParaRPr lang="en-US"/>
                        </a:p>
                      </c:rich>
                    </c:tx>
                    <c:dLblPos val="ctr"/>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01-7598-4865-BA05-FCC26E0EA4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ct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'Neighborhood - TMY3'!$C$23:$R$23</c15:sqref>
                        </c15:formulaRef>
                      </c:ext>
                    </c:extLst>
                    <c:strCache>
                      <c:ptCount val="16"/>
                      <c:pt idx="0">
                        <c:v>262 Homes - Existing</c:v>
                      </c:pt>
                      <c:pt idx="1">
                        <c:v>262 Homes - Geo</c:v>
                      </c:pt>
                      <c:pt idx="2">
                        <c:v>262 Homes - Geo + Wx</c:v>
                      </c:pt>
                      <c:pt idx="3">
                        <c:v>262 Homes - Geo + PV + Wx</c:v>
                      </c:pt>
                      <c:pt idx="4">
                        <c:v>Community Center - Existing</c:v>
                      </c:pt>
                      <c:pt idx="5">
                        <c:v>Community Center - Geo</c:v>
                      </c:pt>
                      <c:pt idx="6">
                        <c:v>Bryant Elementary - Existing</c:v>
                      </c:pt>
                      <c:pt idx="7">
                        <c:v>Bryant Elementary - Geo</c:v>
                      </c:pt>
                      <c:pt idx="8">
                        <c:v>County Health - Existing</c:v>
                      </c:pt>
                      <c:pt idx="9">
                        <c:v>County Health - Geo</c:v>
                      </c:pt>
                      <c:pt idx="10">
                        <c:v>Wheeler Center - Existing</c:v>
                      </c:pt>
                      <c:pt idx="11">
                        <c:v>Wheeler Center - Geo</c:v>
                      </c:pt>
                      <c:pt idx="12">
                        <c:v>Wheeler Maintenance (S) - Existing</c:v>
                      </c:pt>
                      <c:pt idx="13">
                        <c:v>Wheeler Maintenance (S) - Geo</c:v>
                      </c:pt>
                      <c:pt idx="14">
                        <c:v>Wheeler Vehicle Storage (E) - Existing</c:v>
                      </c:pt>
                      <c:pt idx="15">
                        <c:v>Wheeler Vehicle Storage (E) - Geo</c:v>
                      </c:pt>
                    </c:strCache>
                  </c:strRef>
                </c:cat>
                <c:val>
                  <c:numRef>
                    <c:extLst>
                      <c:ext uri="{02D57815-91ED-43cb-92C2-25804820EDAC}">
                        <c15:formulaRef>
                          <c15:sqref>'Neighborhood - TMY3'!$C$31:$R$31</c15:sqref>
                        </c15:formulaRef>
                      </c:ext>
                    </c:extLst>
                    <c:numCache>
                      <c:formatCode>#,##0.0</c:formatCode>
                      <c:ptCount val="16"/>
                      <c:pt idx="0">
                        <c:v>110.82049195332092</c:v>
                      </c:pt>
                      <c:pt idx="1">
                        <c:v>46.544631199969849</c:v>
                      </c:pt>
                      <c:pt idx="2">
                        <c:v>43.05532495440584</c:v>
                      </c:pt>
                      <c:pt idx="3" formatCode="#,##0.00">
                        <c:v>16.840512645892733</c:v>
                      </c:pt>
                      <c:pt idx="4">
                        <c:v>109.45690839694656</c:v>
                      </c:pt>
                      <c:pt idx="5">
                        <c:v>51.875379434216434</c:v>
                      </c:pt>
                      <c:pt idx="6">
                        <c:v>56.839355229194489</c:v>
                      </c:pt>
                      <c:pt idx="7">
                        <c:v>38.508270004450388</c:v>
                      </c:pt>
                      <c:pt idx="8">
                        <c:v>60.737004284161387</c:v>
                      </c:pt>
                      <c:pt idx="9">
                        <c:v>42.26843865802762</c:v>
                      </c:pt>
                      <c:pt idx="10">
                        <c:v>71.433457247431534</c:v>
                      </c:pt>
                      <c:pt idx="11">
                        <c:v>48.425827353536853</c:v>
                      </c:pt>
                      <c:pt idx="12">
                        <c:v>72.336791055145781</c:v>
                      </c:pt>
                      <c:pt idx="13">
                        <c:v>49.906021842744757</c:v>
                      </c:pt>
                      <c:pt idx="14">
                        <c:v>75.100329007791899</c:v>
                      </c:pt>
                      <c:pt idx="15" formatCode="#,##0">
                        <c:v>49.332346893741956</c:v>
                      </c:pt>
                    </c:numCache>
                  </c:numRef>
                </c:val>
                <c:extLst>
                  <c:ext uri="{02D57815-91ED-43cb-92C2-25804820EDAC}">
                    <c15:datalabelsRange>
                      <c15:f>'DB-End Use'!$C$16:$N$16</c15:f>
                      <c15:dlblRangeCache>
                        <c:ptCount val="9"/>
                        <c:pt idx="1">
                          <c:v>Energy Savings: 21%</c:v>
                        </c:pt>
                        <c:pt idx="2">
                          <c:v>Energy Savings: 38%</c:v>
                        </c:pt>
                        <c:pt idx="3">
                          <c:v>Energy Savings: 31%</c:v>
                        </c:pt>
                        <c:pt idx="4">
                          <c:v>Energy Savings: 16%</c:v>
                        </c:pt>
                        <c:pt idx="5">
                          <c:v>Energy Savings: 28%</c:v>
                        </c:pt>
                        <c:pt idx="6">
                          <c:v>Energy Savings: 38%</c:v>
                        </c:pt>
                        <c:pt idx="7">
                          <c:v>Energy Savings: 62%</c:v>
                        </c:pt>
                        <c:pt idx="8">
                          <c:v>Energy Savings: 69%</c:v>
                        </c:pt>
                      </c15:dlblRangeCache>
                    </c15:datalabelsRange>
                  </c:ext>
                  <c:ext xmlns:c16="http://schemas.microsoft.com/office/drawing/2014/chart" uri="{C3380CC4-5D6E-409C-BE32-E72D297353CC}">
                    <c16:uniqueId val="{0000000B-9695-43B9-B02F-8338AD7012A6}"/>
                  </c:ext>
                </c:extLst>
              </c15:ser>
            </c15:filteredBarSeries>
          </c:ext>
        </c:extLst>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Energy Use Intensity (kBtu/ft</a:t>
                </a:r>
                <a:r>
                  <a:rPr lang="en-US" baseline="30000"/>
                  <a:t>2</a:t>
                </a:r>
                <a:r>
                  <a:rPr lang="en-US"/>
                  <a:t>/yr)</a:t>
                </a:r>
              </a:p>
            </c:rich>
          </c:tx>
          <c:layout>
            <c:manualLayout>
              <c:xMode val="edge"/>
              <c:yMode val="edge"/>
              <c:x val="5.4158596352143373E-2"/>
              <c:y val="0.172719945439890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Energy End</a:t>
            </a:r>
            <a:r>
              <a:rPr lang="en-US" baseline="0"/>
              <a:t> Use 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'T3D-End Use'!$B$5</c:f>
              <c:strCache>
                <c:ptCount val="1"/>
                <c:pt idx="0">
                  <c:v>Lighting</c:v>
                </c:pt>
              </c:strCache>
            </c:strRef>
          </c:tx>
          <c:spPr>
            <a:solidFill>
              <a:schemeClr val="accent1"/>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Use'!$C$5:$N$5</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4FD1-4E59-9740-A9411A0056B0}"/>
            </c:ext>
          </c:extLst>
        </c:ser>
        <c:ser>
          <c:idx val="1"/>
          <c:order val="1"/>
          <c:tx>
            <c:strRef>
              <c:f>'T3D-End Use'!$B$6</c:f>
              <c:strCache>
                <c:ptCount val="1"/>
                <c:pt idx="0">
                  <c:v>Heating</c:v>
                </c:pt>
              </c:strCache>
            </c:strRef>
          </c:tx>
          <c:spPr>
            <a:solidFill>
              <a:schemeClr val="accent2"/>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Use'!$C$6:$N$6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4FD1-4E59-9740-A9411A0056B0}"/>
            </c:ext>
          </c:extLst>
        </c:ser>
        <c:ser>
          <c:idx val="2"/>
          <c:order val="2"/>
          <c:tx>
            <c:strRef>
              <c:f>'T3D-End Use'!$B$7</c:f>
              <c:strCache>
                <c:ptCount val="1"/>
                <c:pt idx="0">
                  <c:v>Cooling</c:v>
                </c:pt>
              </c:strCache>
            </c:strRef>
          </c:tx>
          <c:spPr>
            <a:solidFill>
              <a:schemeClr val="accent3"/>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Use'!$C$7:$N$7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4FD1-4E59-9740-A9411A0056B0}"/>
            </c:ext>
          </c:extLst>
        </c:ser>
        <c:ser>
          <c:idx val="3"/>
          <c:order val="3"/>
          <c:tx>
            <c:strRef>
              <c:f>'T3D-End Use'!$B$8</c:f>
              <c:strCache>
                <c:ptCount val="1"/>
                <c:pt idx="0">
                  <c:v>Pumps</c:v>
                </c:pt>
              </c:strCache>
            </c:strRef>
          </c:tx>
          <c:spPr>
            <a:solidFill>
              <a:schemeClr val="accent4"/>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Use'!$C$8:$N$8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4FD1-4E59-9740-A9411A0056B0}"/>
            </c:ext>
          </c:extLst>
        </c:ser>
        <c:ser>
          <c:idx val="4"/>
          <c:order val="4"/>
          <c:tx>
            <c:strRef>
              <c:f>'T3D-End Use'!$B$9</c:f>
              <c:strCache>
                <c:ptCount val="1"/>
                <c:pt idx="0">
                  <c:v>Fans</c:v>
                </c:pt>
              </c:strCache>
            </c:strRef>
          </c:tx>
          <c:spPr>
            <a:solidFill>
              <a:schemeClr val="accent5"/>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Use'!$C$9:$N$9</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4FD1-4E59-9740-A9411A0056B0}"/>
            </c:ext>
          </c:extLst>
        </c:ser>
        <c:ser>
          <c:idx val="5"/>
          <c:order val="5"/>
          <c:tx>
            <c:strRef>
              <c:f>'T3D-End Use'!$B$10</c:f>
              <c:strCache>
                <c:ptCount val="1"/>
                <c:pt idx="0">
                  <c:v>Receptacles</c:v>
                </c:pt>
              </c:strCache>
            </c:strRef>
          </c:tx>
          <c:spPr>
            <a:solidFill>
              <a:schemeClr val="accent6"/>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Use'!$C$10:$N$10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4FD1-4E59-9740-A9411A0056B0}"/>
            </c:ext>
          </c:extLst>
        </c:ser>
        <c:ser>
          <c:idx val="6"/>
          <c:order val="6"/>
          <c:tx>
            <c:strRef>
              <c:f>'T3D-End Use'!$B$11</c:f>
              <c:strCache>
                <c:ptCount val="1"/>
                <c:pt idx="0">
                  <c:v>DHW</c:v>
                </c:pt>
              </c:strCache>
            </c:strRef>
          </c:tx>
          <c:spPr>
            <a:solidFill>
              <a:schemeClr val="accent1">
                <a:lumMod val="60000"/>
              </a:schemeClr>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Use'!$C$11:$N$11</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4FD1-4E59-9740-A9411A0056B0}"/>
            </c:ext>
          </c:extLst>
        </c:ser>
        <c:ser>
          <c:idx val="7"/>
          <c:order val="7"/>
          <c:tx>
            <c:strRef>
              <c:f>'T3D-End Use'!$B$12</c:f>
              <c:strCache>
                <c:ptCount val="1"/>
                <c:pt idx="0">
                  <c:v>Savings </c:v>
                </c:pt>
              </c:strCache>
            </c:strRef>
          </c:tx>
          <c:spPr>
            <a:pattFill prst="ltUpDiag">
              <a:fgClr>
                <a:schemeClr val="accent3"/>
              </a:fgClr>
              <a:bgClr>
                <a:schemeClr val="bg1"/>
              </a:bgClr>
            </a:pattFill>
            <a:ln>
              <a:noFill/>
            </a:ln>
            <a:effectLst/>
          </c:spPr>
          <c:invertIfNegative val="0"/>
          <c:dLbls>
            <c:dLbl>
              <c:idx val="0"/>
              <c:tx>
                <c:rich>
                  <a:bodyPr/>
                  <a:lstStyle/>
                  <a:p>
                    <a:fld id="{2410A70B-F172-472D-9158-34A6275A92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FD1-4E59-9740-A9411A0056B0}"/>
                </c:ext>
              </c:extLst>
            </c:dLbl>
            <c:dLbl>
              <c:idx val="1"/>
              <c:tx>
                <c:rich>
                  <a:bodyPr/>
                  <a:lstStyle/>
                  <a:p>
                    <a:fld id="{2C25D584-398E-428A-8F18-5C3C1F9791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4FD1-4E59-9740-A9411A0056B0}"/>
                </c:ext>
              </c:extLst>
            </c:dLbl>
            <c:dLbl>
              <c:idx val="2"/>
              <c:tx>
                <c:rich>
                  <a:bodyPr/>
                  <a:lstStyle/>
                  <a:p>
                    <a:fld id="{86F6A5E7-C878-45FF-8AD3-9BB077FB47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FD1-4E59-9740-A9411A0056B0}"/>
                </c:ext>
              </c:extLst>
            </c:dLbl>
            <c:dLbl>
              <c:idx val="3"/>
              <c:tx>
                <c:rich>
                  <a:bodyPr/>
                  <a:lstStyle/>
                  <a:p>
                    <a:fld id="{3B7C9F9A-BF40-47C6-AF59-A893B92B14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FD1-4E59-9740-A9411A0056B0}"/>
                </c:ext>
              </c:extLst>
            </c:dLbl>
            <c:dLbl>
              <c:idx val="4"/>
              <c:tx>
                <c:rich>
                  <a:bodyPr/>
                  <a:lstStyle/>
                  <a:p>
                    <a:fld id="{784C349F-96FB-4087-B950-6276F1FF42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FD1-4E59-9740-A9411A0056B0}"/>
                </c:ext>
              </c:extLst>
            </c:dLbl>
            <c:dLbl>
              <c:idx val="5"/>
              <c:tx>
                <c:rich>
                  <a:bodyPr/>
                  <a:lstStyle/>
                  <a:p>
                    <a:fld id="{D5B68541-8875-4BDD-BFF1-A29F2E2692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FD1-4E59-9740-A9411A0056B0}"/>
                </c:ext>
              </c:extLst>
            </c:dLbl>
            <c:dLbl>
              <c:idx val="6"/>
              <c:tx>
                <c:rich>
                  <a:bodyPr/>
                  <a:lstStyle/>
                  <a:p>
                    <a:fld id="{9FF89D92-D30A-4E37-9494-77B4A7E679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FD1-4E59-9740-A9411A0056B0}"/>
                </c:ext>
              </c:extLst>
            </c:dLbl>
            <c:dLbl>
              <c:idx val="7"/>
              <c:tx>
                <c:rich>
                  <a:bodyPr/>
                  <a:lstStyle/>
                  <a:p>
                    <a:fld id="{79BB90C6-0D09-475A-9682-EF38106D26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4FD1-4E59-9740-A9411A0056B0}"/>
                </c:ext>
              </c:extLst>
            </c:dLbl>
            <c:dLbl>
              <c:idx val="8"/>
              <c:tx>
                <c:rich>
                  <a:bodyPr/>
                  <a:lstStyle/>
                  <a:p>
                    <a:fld id="{A96D97D6-F367-44D8-BC6C-B5EBDDCB69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4FD1-4E59-9740-A9411A0056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Use'!$C$12:$N$12</c:f>
              <c:numCache>
                <c:formatCode>0.0</c:formatCode>
                <c:ptCount val="9"/>
                <c:pt idx="0" formatCode="_(* #,##0.0_);_(* \(#,##0.0\);_(* &quot;-&quot;?_);_(@_)">
                  <c:v>0</c:v>
                </c:pt>
                <c:pt idx="1">
                  <c:v>0</c:v>
                </c:pt>
                <c:pt idx="2">
                  <c:v>0</c:v>
                </c:pt>
                <c:pt idx="3">
                  <c:v>0</c:v>
                </c:pt>
                <c:pt idx="4">
                  <c:v>0</c:v>
                </c:pt>
                <c:pt idx="5">
                  <c:v>0</c:v>
                </c:pt>
                <c:pt idx="6">
                  <c:v>0</c:v>
                </c:pt>
                <c:pt idx="7">
                  <c:v>0</c:v>
                </c:pt>
                <c:pt idx="8">
                  <c:v>0</c:v>
                </c:pt>
              </c:numCache>
            </c:numRef>
          </c:val>
          <c:extLst>
            <c:ext xmlns:c15="http://schemas.microsoft.com/office/drawing/2012/chart" uri="{02D57815-91ED-43cb-92C2-25804820EDAC}">
              <c15:datalabelsRange>
                <c15:f>'T3D-End Use'!$C$16:$N$16</c15:f>
                <c15:dlblRangeCache>
                  <c:ptCount val="9"/>
                </c15:dlblRangeCache>
              </c15:datalabelsRange>
            </c:ext>
            <c:ext xmlns:c16="http://schemas.microsoft.com/office/drawing/2014/chart" uri="{C3380CC4-5D6E-409C-BE32-E72D297353CC}">
              <c16:uniqueId val="{00000010-4FD1-4E59-9740-A9411A0056B0}"/>
            </c:ext>
          </c:extLst>
        </c:ser>
        <c:dLbls>
          <c:showLegendKey val="0"/>
          <c:showVal val="0"/>
          <c:showCatName val="0"/>
          <c:showSerName val="0"/>
          <c:showPercent val="0"/>
          <c:showBubbleSize val="0"/>
        </c:dLbls>
        <c:gapWidth val="150"/>
        <c:overlap val="100"/>
        <c:axId val="1219553984"/>
        <c:axId val="1219555952"/>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Energy Use Intensity (kBtu/ft</a:t>
                </a:r>
                <a:r>
                  <a:rPr lang="en-US" baseline="30000"/>
                  <a:t>2</a:t>
                </a:r>
                <a:r>
                  <a:rPr lang="en-US"/>
                  <a:t>/yr)</a:t>
                </a:r>
              </a:p>
            </c:rich>
          </c:tx>
          <c:layout>
            <c:manualLayout>
              <c:xMode val="edge"/>
              <c:yMode val="edge"/>
              <c:x val="5.4158596352143373E-2"/>
              <c:y val="0.172719945439890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Energy Cost </a:t>
            </a:r>
            <a:r>
              <a:rPr lang="en-US" baseline="0"/>
              <a:t>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'Neighborhood - TMY3'!$B$35</c:f>
              <c:strCache>
                <c:ptCount val="1"/>
                <c:pt idx="0">
                  <c:v>Lighting</c:v>
                </c:pt>
              </c:strCache>
            </c:strRef>
          </c:tx>
          <c:spPr>
            <a:solidFill>
              <a:schemeClr val="accent1"/>
            </a:solidFill>
            <a:ln>
              <a:noFill/>
            </a:ln>
            <a:effectLst/>
          </c:spPr>
          <c:invertIfNegative val="0"/>
          <c:cat>
            <c:strRef>
              <c:f>'Neighborhood - TMY3'!$C$23:$R$23</c:f>
              <c:strCache>
                <c:ptCount val="16"/>
                <c:pt idx="0">
                  <c:v>262 Homes - Existing</c:v>
                </c:pt>
                <c:pt idx="1">
                  <c:v>262 Homes - Geo</c:v>
                </c:pt>
                <c:pt idx="2">
                  <c:v>262 Homes - Geo + Wx</c:v>
                </c:pt>
                <c:pt idx="3">
                  <c:v>262 Homes - Geo + PV + Wx</c:v>
                </c:pt>
                <c:pt idx="4">
                  <c:v>Community Center - Existing</c:v>
                </c:pt>
                <c:pt idx="5">
                  <c:v>Community Center - Geo</c:v>
                </c:pt>
                <c:pt idx="6">
                  <c:v>Bryant Elementary - Existing</c:v>
                </c:pt>
                <c:pt idx="7">
                  <c:v>Bryant Elementary - Geo</c:v>
                </c:pt>
                <c:pt idx="8">
                  <c:v>County Health - Existing</c:v>
                </c:pt>
                <c:pt idx="9">
                  <c:v>County Health - Geo</c:v>
                </c:pt>
                <c:pt idx="10">
                  <c:v>Wheeler Center - Existing</c:v>
                </c:pt>
                <c:pt idx="11">
                  <c:v>Wheeler Center - Geo</c:v>
                </c:pt>
                <c:pt idx="12">
                  <c:v>Wheeler Maintenance (S) - Existing</c:v>
                </c:pt>
                <c:pt idx="13">
                  <c:v>Wheeler Maintenance (S) - Geo</c:v>
                </c:pt>
                <c:pt idx="14">
                  <c:v>Wheeler Vehicle Storage (E) - Existing</c:v>
                </c:pt>
                <c:pt idx="15">
                  <c:v>Wheeler Vehicle Storage (E) - Geo</c:v>
                </c:pt>
              </c:strCache>
            </c:strRef>
          </c:cat>
          <c:val>
            <c:numRef>
              <c:f>'Neighborhood - TMY3'!$C$35:$R$35</c:f>
              <c:numCache>
                <c:formatCode>"$"#,##0</c:formatCode>
                <c:ptCount val="16"/>
                <c:pt idx="0">
                  <c:v>36172.469482869688</c:v>
                </c:pt>
                <c:pt idx="1">
                  <c:v>36172.469482869688</c:v>
                </c:pt>
                <c:pt idx="4">
                  <c:v>1356.3339385065885</c:v>
                </c:pt>
                <c:pt idx="5">
                  <c:v>1356.3339385065885</c:v>
                </c:pt>
                <c:pt idx="6">
                  <c:v>17708.968923572473</c:v>
                </c:pt>
                <c:pt idx="7">
                  <c:v>17708.968923572473</c:v>
                </c:pt>
                <c:pt idx="8">
                  <c:v>8527.0270875549049</c:v>
                </c:pt>
                <c:pt idx="9">
                  <c:v>8527.0270875549049</c:v>
                </c:pt>
                <c:pt idx="10">
                  <c:v>8786.2815595900429</c:v>
                </c:pt>
                <c:pt idx="11">
                  <c:v>8786.2815595900429</c:v>
                </c:pt>
                <c:pt idx="12">
                  <c:v>9169.4168907759886</c:v>
                </c:pt>
                <c:pt idx="13">
                  <c:v>9169.4168907759886</c:v>
                </c:pt>
                <c:pt idx="14">
                  <c:v>14529.005803806735</c:v>
                </c:pt>
                <c:pt idx="15">
                  <c:v>14529.005803806735</c:v>
                </c:pt>
              </c:numCache>
            </c:numRef>
          </c:val>
          <c:extLst>
            <c:ext xmlns:c16="http://schemas.microsoft.com/office/drawing/2014/chart" uri="{C3380CC4-5D6E-409C-BE32-E72D297353CC}">
              <c16:uniqueId val="{00000000-BB9C-4201-836B-75A857422D8A}"/>
            </c:ext>
          </c:extLst>
        </c:ser>
        <c:ser>
          <c:idx val="1"/>
          <c:order val="1"/>
          <c:tx>
            <c:strRef>
              <c:f>'Neighborhood - TMY3'!$B$36</c:f>
              <c:strCache>
                <c:ptCount val="1"/>
                <c:pt idx="0">
                  <c:v>Heating</c:v>
                </c:pt>
              </c:strCache>
            </c:strRef>
          </c:tx>
          <c:spPr>
            <a:solidFill>
              <a:schemeClr val="accent2"/>
            </a:solidFill>
            <a:ln>
              <a:noFill/>
            </a:ln>
            <a:effectLst/>
          </c:spPr>
          <c:invertIfNegative val="0"/>
          <c:cat>
            <c:strRef>
              <c:f>'Neighborhood - TMY3'!$C$23:$R$23</c:f>
              <c:strCache>
                <c:ptCount val="16"/>
                <c:pt idx="0">
                  <c:v>262 Homes - Existing</c:v>
                </c:pt>
                <c:pt idx="1">
                  <c:v>262 Homes - Geo</c:v>
                </c:pt>
                <c:pt idx="2">
                  <c:v>262 Homes - Geo + Wx</c:v>
                </c:pt>
                <c:pt idx="3">
                  <c:v>262 Homes - Geo + PV + Wx</c:v>
                </c:pt>
                <c:pt idx="4">
                  <c:v>Community Center - Existing</c:v>
                </c:pt>
                <c:pt idx="5">
                  <c:v>Community Center - Geo</c:v>
                </c:pt>
                <c:pt idx="6">
                  <c:v>Bryant Elementary - Existing</c:v>
                </c:pt>
                <c:pt idx="7">
                  <c:v>Bryant Elementary - Geo</c:v>
                </c:pt>
                <c:pt idx="8">
                  <c:v>County Health - Existing</c:v>
                </c:pt>
                <c:pt idx="9">
                  <c:v>County Health - Geo</c:v>
                </c:pt>
                <c:pt idx="10">
                  <c:v>Wheeler Center - Existing</c:v>
                </c:pt>
                <c:pt idx="11">
                  <c:v>Wheeler Center - Geo</c:v>
                </c:pt>
                <c:pt idx="12">
                  <c:v>Wheeler Maintenance (S) - Existing</c:v>
                </c:pt>
                <c:pt idx="13">
                  <c:v>Wheeler Maintenance (S) - Geo</c:v>
                </c:pt>
                <c:pt idx="14">
                  <c:v>Wheeler Vehicle Storage (E) - Existing</c:v>
                </c:pt>
                <c:pt idx="15">
                  <c:v>Wheeler Vehicle Storage (E) - Geo</c:v>
                </c:pt>
              </c:strCache>
            </c:strRef>
          </c:cat>
          <c:val>
            <c:numRef>
              <c:f>'Neighborhood - TMY3'!$C$36:$R$36</c:f>
              <c:numCache>
                <c:formatCode>"$"#,##0</c:formatCode>
                <c:ptCount val="16"/>
                <c:pt idx="0">
                  <c:v>127215.09726974953</c:v>
                </c:pt>
                <c:pt idx="1">
                  <c:v>198019.47011654463</c:v>
                </c:pt>
                <c:pt idx="4">
                  <c:v>3064.7524569632496</c:v>
                </c:pt>
                <c:pt idx="5">
                  <c:v>2339.6366389458271</c:v>
                </c:pt>
                <c:pt idx="6">
                  <c:v>16466.125470986462</c:v>
                </c:pt>
                <c:pt idx="7">
                  <c:v>21816.061123279651</c:v>
                </c:pt>
                <c:pt idx="8">
                  <c:v>9360.0122930367506</c:v>
                </c:pt>
                <c:pt idx="9">
                  <c:v>12401.132291827813</c:v>
                </c:pt>
                <c:pt idx="10">
                  <c:v>13627.998804214118</c:v>
                </c:pt>
                <c:pt idx="11">
                  <c:v>18052.500484308555</c:v>
                </c:pt>
                <c:pt idx="12">
                  <c:v>12150.027281471266</c:v>
                </c:pt>
                <c:pt idx="13">
                  <c:v>16097.308621277693</c:v>
                </c:pt>
                <c:pt idx="14">
                  <c:v>23429.961168278533</c:v>
                </c:pt>
                <c:pt idx="15">
                  <c:v>31042.485730106058</c:v>
                </c:pt>
              </c:numCache>
            </c:numRef>
          </c:val>
          <c:extLst>
            <c:ext xmlns:c16="http://schemas.microsoft.com/office/drawing/2014/chart" uri="{C3380CC4-5D6E-409C-BE32-E72D297353CC}">
              <c16:uniqueId val="{00000001-4454-4737-B2EC-B464186BFE07}"/>
            </c:ext>
          </c:extLst>
        </c:ser>
        <c:ser>
          <c:idx val="2"/>
          <c:order val="2"/>
          <c:tx>
            <c:strRef>
              <c:f>'Neighborhood - TMY3'!$B$37</c:f>
              <c:strCache>
                <c:ptCount val="1"/>
                <c:pt idx="0">
                  <c:v>Cooling</c:v>
                </c:pt>
              </c:strCache>
            </c:strRef>
          </c:tx>
          <c:spPr>
            <a:solidFill>
              <a:schemeClr val="accent3"/>
            </a:solidFill>
            <a:ln>
              <a:noFill/>
            </a:ln>
            <a:effectLst/>
          </c:spPr>
          <c:invertIfNegative val="0"/>
          <c:cat>
            <c:strRef>
              <c:f>'Neighborhood - TMY3'!$C$23:$R$23</c:f>
              <c:strCache>
                <c:ptCount val="16"/>
                <c:pt idx="0">
                  <c:v>262 Homes - Existing</c:v>
                </c:pt>
                <c:pt idx="1">
                  <c:v>262 Homes - Geo</c:v>
                </c:pt>
                <c:pt idx="2">
                  <c:v>262 Homes - Geo + Wx</c:v>
                </c:pt>
                <c:pt idx="3">
                  <c:v>262 Homes - Geo + PV + Wx</c:v>
                </c:pt>
                <c:pt idx="4">
                  <c:v>Community Center - Existing</c:v>
                </c:pt>
                <c:pt idx="5">
                  <c:v>Community Center - Geo</c:v>
                </c:pt>
                <c:pt idx="6">
                  <c:v>Bryant Elementary - Existing</c:v>
                </c:pt>
                <c:pt idx="7">
                  <c:v>Bryant Elementary - Geo</c:v>
                </c:pt>
                <c:pt idx="8">
                  <c:v>County Health - Existing</c:v>
                </c:pt>
                <c:pt idx="9">
                  <c:v>County Health - Geo</c:v>
                </c:pt>
                <c:pt idx="10">
                  <c:v>Wheeler Center - Existing</c:v>
                </c:pt>
                <c:pt idx="11">
                  <c:v>Wheeler Center - Geo</c:v>
                </c:pt>
                <c:pt idx="12">
                  <c:v>Wheeler Maintenance (S) - Existing</c:v>
                </c:pt>
                <c:pt idx="13">
                  <c:v>Wheeler Maintenance (S) - Geo</c:v>
                </c:pt>
                <c:pt idx="14">
                  <c:v>Wheeler Vehicle Storage (E) - Existing</c:v>
                </c:pt>
                <c:pt idx="15">
                  <c:v>Wheeler Vehicle Storage (E) - Geo</c:v>
                </c:pt>
              </c:strCache>
            </c:strRef>
          </c:cat>
          <c:val>
            <c:numRef>
              <c:f>'Neighborhood - TMY3'!$C$37:$R$37</c:f>
              <c:numCache>
                <c:formatCode>"$"#,##0</c:formatCode>
                <c:ptCount val="16"/>
                <c:pt idx="0">
                  <c:v>93594.904817569535</c:v>
                </c:pt>
                <c:pt idx="1">
                  <c:v>64209.38901434846</c:v>
                </c:pt>
                <c:pt idx="4">
                  <c:v>1603.4046102489019</c:v>
                </c:pt>
                <c:pt idx="5">
                  <c:v>1393.9120579795022</c:v>
                </c:pt>
                <c:pt idx="6">
                  <c:v>10408.098875549047</c:v>
                </c:pt>
                <c:pt idx="7">
                  <c:v>8704.4180825768672</c:v>
                </c:pt>
                <c:pt idx="8">
                  <c:v>4780.9450535871156</c:v>
                </c:pt>
                <c:pt idx="9">
                  <c:v>3998.361763646757</c:v>
                </c:pt>
                <c:pt idx="10">
                  <c:v>9349.1918869692545</c:v>
                </c:pt>
                <c:pt idx="11">
                  <c:v>7818.8414514003352</c:v>
                </c:pt>
                <c:pt idx="12">
                  <c:v>3799.23971420205</c:v>
                </c:pt>
                <c:pt idx="13">
                  <c:v>3177.3497988219274</c:v>
                </c:pt>
                <c:pt idx="14">
                  <c:v>0</c:v>
                </c:pt>
                <c:pt idx="15">
                  <c:v>0</c:v>
                </c:pt>
              </c:numCache>
            </c:numRef>
          </c:val>
          <c:extLst>
            <c:ext xmlns:c16="http://schemas.microsoft.com/office/drawing/2014/chart" uri="{C3380CC4-5D6E-409C-BE32-E72D297353CC}">
              <c16:uniqueId val="{00000002-4454-4737-B2EC-B464186BFE07}"/>
            </c:ext>
          </c:extLst>
        </c:ser>
        <c:ser>
          <c:idx val="3"/>
          <c:order val="3"/>
          <c:tx>
            <c:strRef>
              <c:f>'Neighborhood - TMY3'!$B$38</c:f>
              <c:strCache>
                <c:ptCount val="1"/>
                <c:pt idx="0">
                  <c:v>Pumps</c:v>
                </c:pt>
              </c:strCache>
            </c:strRef>
          </c:tx>
          <c:spPr>
            <a:solidFill>
              <a:schemeClr val="accent4"/>
            </a:solidFill>
            <a:ln>
              <a:noFill/>
            </a:ln>
            <a:effectLst/>
          </c:spPr>
          <c:invertIfNegative val="0"/>
          <c:cat>
            <c:strRef>
              <c:f>'Neighborhood - TMY3'!$C$23:$R$23</c:f>
              <c:strCache>
                <c:ptCount val="16"/>
                <c:pt idx="0">
                  <c:v>262 Homes - Existing</c:v>
                </c:pt>
                <c:pt idx="1">
                  <c:v>262 Homes - Geo</c:v>
                </c:pt>
                <c:pt idx="2">
                  <c:v>262 Homes - Geo + Wx</c:v>
                </c:pt>
                <c:pt idx="3">
                  <c:v>262 Homes - Geo + PV + Wx</c:v>
                </c:pt>
                <c:pt idx="4">
                  <c:v>Community Center - Existing</c:v>
                </c:pt>
                <c:pt idx="5">
                  <c:v>Community Center - Geo</c:v>
                </c:pt>
                <c:pt idx="6">
                  <c:v>Bryant Elementary - Existing</c:v>
                </c:pt>
                <c:pt idx="7">
                  <c:v>Bryant Elementary - Geo</c:v>
                </c:pt>
                <c:pt idx="8">
                  <c:v>County Health - Existing</c:v>
                </c:pt>
                <c:pt idx="9">
                  <c:v>County Health - Geo</c:v>
                </c:pt>
                <c:pt idx="10">
                  <c:v>Wheeler Center - Existing</c:v>
                </c:pt>
                <c:pt idx="11">
                  <c:v>Wheeler Center - Geo</c:v>
                </c:pt>
                <c:pt idx="12">
                  <c:v>Wheeler Maintenance (S) - Existing</c:v>
                </c:pt>
                <c:pt idx="13">
                  <c:v>Wheeler Maintenance (S) - Geo</c:v>
                </c:pt>
                <c:pt idx="14">
                  <c:v>Wheeler Vehicle Storage (E) - Existing</c:v>
                </c:pt>
                <c:pt idx="15">
                  <c:v>Wheeler Vehicle Storage (E) - Geo</c:v>
                </c:pt>
              </c:strCache>
            </c:strRef>
          </c:cat>
          <c:val>
            <c:numRef>
              <c:f>'Neighborhood - TMY3'!$C$38:$R$38</c:f>
              <c:numCache>
                <c:formatCode>"$"#,##0</c:formatCode>
                <c:ptCount val="16"/>
                <c:pt idx="0">
                  <c:v>13.09352503660322</c:v>
                </c:pt>
                <c:pt idx="1">
                  <c:v>5237.4164846266467</c:v>
                </c:pt>
                <c:pt idx="4">
                  <c:v>5.6918301610541726E-2</c:v>
                </c:pt>
                <c:pt idx="5">
                  <c:v>658.23644216691071</c:v>
                </c:pt>
                <c:pt idx="6">
                  <c:v>1.1204878477306004</c:v>
                </c:pt>
                <c:pt idx="7">
                  <c:v>6399.6616903367494</c:v>
                </c:pt>
                <c:pt idx="8">
                  <c:v>0.8483016105417277</c:v>
                </c:pt>
                <c:pt idx="9">
                  <c:v>3563.3042875007186</c:v>
                </c:pt>
                <c:pt idx="10">
                  <c:v>10.567831332357247</c:v>
                </c:pt>
                <c:pt idx="11">
                  <c:v>4650.8172826537375</c:v>
                </c:pt>
                <c:pt idx="12">
                  <c:v>7.3731092240117135</c:v>
                </c:pt>
                <c:pt idx="13">
                  <c:v>4853.6219065594551</c:v>
                </c:pt>
                <c:pt idx="14">
                  <c:v>1.4765920937042458</c:v>
                </c:pt>
                <c:pt idx="15">
                  <c:v>7690.5306999176264</c:v>
                </c:pt>
              </c:numCache>
            </c:numRef>
          </c:val>
          <c:extLst>
            <c:ext xmlns:c16="http://schemas.microsoft.com/office/drawing/2014/chart" uri="{C3380CC4-5D6E-409C-BE32-E72D297353CC}">
              <c16:uniqueId val="{00000003-4454-4737-B2EC-B464186BFE07}"/>
            </c:ext>
          </c:extLst>
        </c:ser>
        <c:ser>
          <c:idx val="4"/>
          <c:order val="4"/>
          <c:tx>
            <c:strRef>
              <c:f>'Neighborhood - TMY3'!$B$39</c:f>
              <c:strCache>
                <c:ptCount val="1"/>
                <c:pt idx="0">
                  <c:v>Fans</c:v>
                </c:pt>
              </c:strCache>
            </c:strRef>
          </c:tx>
          <c:spPr>
            <a:solidFill>
              <a:schemeClr val="accent5"/>
            </a:solidFill>
            <a:ln>
              <a:noFill/>
            </a:ln>
            <a:effectLst/>
          </c:spPr>
          <c:invertIfNegative val="0"/>
          <c:cat>
            <c:strRef>
              <c:f>'Neighborhood - TMY3'!$C$23:$R$23</c:f>
              <c:strCache>
                <c:ptCount val="16"/>
                <c:pt idx="0">
                  <c:v>262 Homes - Existing</c:v>
                </c:pt>
                <c:pt idx="1">
                  <c:v>262 Homes - Geo</c:v>
                </c:pt>
                <c:pt idx="2">
                  <c:v>262 Homes - Geo + Wx</c:v>
                </c:pt>
                <c:pt idx="3">
                  <c:v>262 Homes - Geo + PV + Wx</c:v>
                </c:pt>
                <c:pt idx="4">
                  <c:v>Community Center - Existing</c:v>
                </c:pt>
                <c:pt idx="5">
                  <c:v>Community Center - Geo</c:v>
                </c:pt>
                <c:pt idx="6">
                  <c:v>Bryant Elementary - Existing</c:v>
                </c:pt>
                <c:pt idx="7">
                  <c:v>Bryant Elementary - Geo</c:v>
                </c:pt>
                <c:pt idx="8">
                  <c:v>County Health - Existing</c:v>
                </c:pt>
                <c:pt idx="9">
                  <c:v>County Health - Geo</c:v>
                </c:pt>
                <c:pt idx="10">
                  <c:v>Wheeler Center - Existing</c:v>
                </c:pt>
                <c:pt idx="11">
                  <c:v>Wheeler Center - Geo</c:v>
                </c:pt>
                <c:pt idx="12">
                  <c:v>Wheeler Maintenance (S) - Existing</c:v>
                </c:pt>
                <c:pt idx="13">
                  <c:v>Wheeler Maintenance (S) - Geo</c:v>
                </c:pt>
                <c:pt idx="14">
                  <c:v>Wheeler Vehicle Storage (E) - Existing</c:v>
                </c:pt>
                <c:pt idx="15">
                  <c:v>Wheeler Vehicle Storage (E) - Geo</c:v>
                </c:pt>
              </c:strCache>
            </c:strRef>
          </c:cat>
          <c:val>
            <c:numRef>
              <c:f>'Neighborhood - TMY3'!$C$39:$R$39</c:f>
              <c:numCache>
                <c:formatCode>"$"#,##0</c:formatCode>
                <c:ptCount val="16"/>
                <c:pt idx="0">
                  <c:v>101787.22730893116</c:v>
                </c:pt>
                <c:pt idx="1">
                  <c:v>42869.086638945824</c:v>
                </c:pt>
                <c:pt idx="4">
                  <c:v>1362.780665885798</c:v>
                </c:pt>
                <c:pt idx="5">
                  <c:v>721.00820732064426</c:v>
                </c:pt>
                <c:pt idx="6">
                  <c:v>6708.4428380673498</c:v>
                </c:pt>
                <c:pt idx="7">
                  <c:v>4439.6231472913614</c:v>
                </c:pt>
                <c:pt idx="8">
                  <c:v>3314.7912655929722</c:v>
                </c:pt>
                <c:pt idx="9">
                  <c:v>2193.7168410613567</c:v>
                </c:pt>
                <c:pt idx="10">
                  <c:v>12658.874005270864</c:v>
                </c:pt>
                <c:pt idx="11">
                  <c:v>8377.596919143818</c:v>
                </c:pt>
                <c:pt idx="12">
                  <c:v>28332.893607027818</c:v>
                </c:pt>
                <c:pt idx="13">
                  <c:v>18750.606261965633</c:v>
                </c:pt>
                <c:pt idx="14">
                  <c:v>42120.490370717424</c:v>
                </c:pt>
                <c:pt idx="15">
                  <c:v>27875.18781019724</c:v>
                </c:pt>
              </c:numCache>
            </c:numRef>
          </c:val>
          <c:extLst>
            <c:ext xmlns:c16="http://schemas.microsoft.com/office/drawing/2014/chart" uri="{C3380CC4-5D6E-409C-BE32-E72D297353CC}">
              <c16:uniqueId val="{00000004-4454-4737-B2EC-B464186BFE07}"/>
            </c:ext>
          </c:extLst>
        </c:ser>
        <c:ser>
          <c:idx val="5"/>
          <c:order val="5"/>
          <c:tx>
            <c:strRef>
              <c:f>'Neighborhood - TMY3'!$B$40</c:f>
              <c:strCache>
                <c:ptCount val="1"/>
                <c:pt idx="0">
                  <c:v>Receptacles</c:v>
                </c:pt>
              </c:strCache>
            </c:strRef>
          </c:tx>
          <c:spPr>
            <a:solidFill>
              <a:schemeClr val="accent6"/>
            </a:solidFill>
            <a:ln>
              <a:noFill/>
            </a:ln>
            <a:effectLst/>
          </c:spPr>
          <c:invertIfNegative val="0"/>
          <c:cat>
            <c:strRef>
              <c:f>'Neighborhood - TMY3'!$C$23:$R$23</c:f>
              <c:strCache>
                <c:ptCount val="16"/>
                <c:pt idx="0">
                  <c:v>262 Homes - Existing</c:v>
                </c:pt>
                <c:pt idx="1">
                  <c:v>262 Homes - Geo</c:v>
                </c:pt>
                <c:pt idx="2">
                  <c:v>262 Homes - Geo + Wx</c:v>
                </c:pt>
                <c:pt idx="3">
                  <c:v>262 Homes - Geo + PV + Wx</c:v>
                </c:pt>
                <c:pt idx="4">
                  <c:v>Community Center - Existing</c:v>
                </c:pt>
                <c:pt idx="5">
                  <c:v>Community Center - Geo</c:v>
                </c:pt>
                <c:pt idx="6">
                  <c:v>Bryant Elementary - Existing</c:v>
                </c:pt>
                <c:pt idx="7">
                  <c:v>Bryant Elementary - Geo</c:v>
                </c:pt>
                <c:pt idx="8">
                  <c:v>County Health - Existing</c:v>
                </c:pt>
                <c:pt idx="9">
                  <c:v>County Health - Geo</c:v>
                </c:pt>
                <c:pt idx="10">
                  <c:v>Wheeler Center - Existing</c:v>
                </c:pt>
                <c:pt idx="11">
                  <c:v>Wheeler Center - Geo</c:v>
                </c:pt>
                <c:pt idx="12">
                  <c:v>Wheeler Maintenance (S) - Existing</c:v>
                </c:pt>
                <c:pt idx="13">
                  <c:v>Wheeler Maintenance (S) - Geo</c:v>
                </c:pt>
                <c:pt idx="14">
                  <c:v>Wheeler Vehicle Storage (E) - Existing</c:v>
                </c:pt>
                <c:pt idx="15">
                  <c:v>Wheeler Vehicle Storage (E) - Geo</c:v>
                </c:pt>
              </c:strCache>
            </c:strRef>
          </c:cat>
          <c:val>
            <c:numRef>
              <c:f>'Neighborhood - TMY3'!$C$40:$R$40</c:f>
              <c:numCache>
                <c:formatCode>"$"#,##0</c:formatCode>
                <c:ptCount val="16"/>
                <c:pt idx="0">
                  <c:v>103408.97596338436</c:v>
                </c:pt>
                <c:pt idx="1">
                  <c:v>103408.97596338436</c:v>
                </c:pt>
                <c:pt idx="4">
                  <c:v>1488.3344122986823</c:v>
                </c:pt>
                <c:pt idx="5">
                  <c:v>1488.3344122986823</c:v>
                </c:pt>
                <c:pt idx="6">
                  <c:v>11983.033754026355</c:v>
                </c:pt>
                <c:pt idx="7">
                  <c:v>11983.033754026355</c:v>
                </c:pt>
                <c:pt idx="8">
                  <c:v>11627.656310980967</c:v>
                </c:pt>
                <c:pt idx="9">
                  <c:v>11627.656310980967</c:v>
                </c:pt>
                <c:pt idx="10">
                  <c:v>17007.033820204979</c:v>
                </c:pt>
                <c:pt idx="11">
                  <c:v>17007.033820204979</c:v>
                </c:pt>
                <c:pt idx="12">
                  <c:v>17748.643898682283</c:v>
                </c:pt>
                <c:pt idx="13">
                  <c:v>17748.643898682283</c:v>
                </c:pt>
                <c:pt idx="14">
                  <c:v>28122.851209370427</c:v>
                </c:pt>
                <c:pt idx="15">
                  <c:v>28122.851209370427</c:v>
                </c:pt>
              </c:numCache>
            </c:numRef>
          </c:val>
          <c:extLst>
            <c:ext xmlns:c16="http://schemas.microsoft.com/office/drawing/2014/chart" uri="{C3380CC4-5D6E-409C-BE32-E72D297353CC}">
              <c16:uniqueId val="{00000005-4454-4737-B2EC-B464186BFE07}"/>
            </c:ext>
          </c:extLst>
        </c:ser>
        <c:ser>
          <c:idx val="6"/>
          <c:order val="6"/>
          <c:tx>
            <c:strRef>
              <c:f>'Neighborhood - TMY3'!$B$41</c:f>
              <c:strCache>
                <c:ptCount val="1"/>
                <c:pt idx="0">
                  <c:v>DHW</c:v>
                </c:pt>
              </c:strCache>
            </c:strRef>
          </c:tx>
          <c:spPr>
            <a:solidFill>
              <a:schemeClr val="accent1">
                <a:lumMod val="60000"/>
              </a:schemeClr>
            </a:solidFill>
            <a:ln>
              <a:noFill/>
            </a:ln>
            <a:effectLst/>
          </c:spPr>
          <c:invertIfNegative val="0"/>
          <c:cat>
            <c:strRef>
              <c:f>'Neighborhood - TMY3'!$C$23:$R$23</c:f>
              <c:strCache>
                <c:ptCount val="16"/>
                <c:pt idx="0">
                  <c:v>262 Homes - Existing</c:v>
                </c:pt>
                <c:pt idx="1">
                  <c:v>262 Homes - Geo</c:v>
                </c:pt>
                <c:pt idx="2">
                  <c:v>262 Homes - Geo + Wx</c:v>
                </c:pt>
                <c:pt idx="3">
                  <c:v>262 Homes - Geo + PV + Wx</c:v>
                </c:pt>
                <c:pt idx="4">
                  <c:v>Community Center - Existing</c:v>
                </c:pt>
                <c:pt idx="5">
                  <c:v>Community Center - Geo</c:v>
                </c:pt>
                <c:pt idx="6">
                  <c:v>Bryant Elementary - Existing</c:v>
                </c:pt>
                <c:pt idx="7">
                  <c:v>Bryant Elementary - Geo</c:v>
                </c:pt>
                <c:pt idx="8">
                  <c:v>County Health - Existing</c:v>
                </c:pt>
                <c:pt idx="9">
                  <c:v>County Health - Geo</c:v>
                </c:pt>
                <c:pt idx="10">
                  <c:v>Wheeler Center - Existing</c:v>
                </c:pt>
                <c:pt idx="11">
                  <c:v>Wheeler Center - Geo</c:v>
                </c:pt>
                <c:pt idx="12">
                  <c:v>Wheeler Maintenance (S) - Existing</c:v>
                </c:pt>
                <c:pt idx="13">
                  <c:v>Wheeler Maintenance (S) - Geo</c:v>
                </c:pt>
                <c:pt idx="14">
                  <c:v>Wheeler Vehicle Storage (E) - Existing</c:v>
                </c:pt>
                <c:pt idx="15">
                  <c:v>Wheeler Vehicle Storage (E) - Geo</c:v>
                </c:pt>
              </c:strCache>
            </c:strRef>
          </c:cat>
          <c:val>
            <c:numRef>
              <c:f>'Neighborhood - TMY3'!$C$41:$R$41</c:f>
              <c:numCache>
                <c:formatCode>"$"#,##0</c:formatCode>
                <c:ptCount val="16"/>
                <c:pt idx="0">
                  <c:v>15273.301435452793</c:v>
                </c:pt>
                <c:pt idx="1">
                  <c:v>15272.386874759151</c:v>
                </c:pt>
                <c:pt idx="4">
                  <c:v>125.7566025145068</c:v>
                </c:pt>
                <c:pt idx="5">
                  <c:v>125.93777466150873</c:v>
                </c:pt>
                <c:pt idx="6">
                  <c:v>2098.2394859767896</c:v>
                </c:pt>
                <c:pt idx="7">
                  <c:v>2097.8279608317216</c:v>
                </c:pt>
                <c:pt idx="8">
                  <c:v>1578.6410730174084</c:v>
                </c:pt>
                <c:pt idx="9">
                  <c:v>1578.6410730174084</c:v>
                </c:pt>
                <c:pt idx="10">
                  <c:v>1981.2924763056096</c:v>
                </c:pt>
                <c:pt idx="11">
                  <c:v>1981.2924763056096</c:v>
                </c:pt>
                <c:pt idx="12">
                  <c:v>2072.4968094777564</c:v>
                </c:pt>
                <c:pt idx="13">
                  <c:v>2072.4968094777564</c:v>
                </c:pt>
                <c:pt idx="14">
                  <c:v>3262.4780425531917</c:v>
                </c:pt>
                <c:pt idx="15">
                  <c:v>3262.4780425531917</c:v>
                </c:pt>
              </c:numCache>
            </c:numRef>
          </c:val>
          <c:extLst>
            <c:ext xmlns:c16="http://schemas.microsoft.com/office/drawing/2014/chart" uri="{C3380CC4-5D6E-409C-BE32-E72D297353CC}">
              <c16:uniqueId val="{00000006-4454-4737-B2EC-B464186BFE07}"/>
            </c:ext>
          </c:extLst>
        </c:ser>
        <c:dLbls>
          <c:showLegendKey val="0"/>
          <c:showVal val="0"/>
          <c:showCatName val="0"/>
          <c:showSerName val="0"/>
          <c:showPercent val="0"/>
          <c:showBubbleSize val="0"/>
        </c:dLbls>
        <c:gapWidth val="150"/>
        <c:overlap val="100"/>
        <c:axId val="1219553984"/>
        <c:axId val="1219555952"/>
        <c:extLst>
          <c:ext xmlns:c15="http://schemas.microsoft.com/office/drawing/2012/chart" uri="{02D57815-91ED-43cb-92C2-25804820EDAC}">
            <c15:filteredBarSeries>
              <c15:ser>
                <c:idx val="7"/>
                <c:order val="7"/>
                <c:tx>
                  <c:strRef>
                    <c:extLst>
                      <c:ext uri="{02D57815-91ED-43cb-92C2-25804820EDAC}">
                        <c15:formulaRef>
                          <c15:sqref>'Neighborhood - TMY3'!$B$42</c15:sqref>
                        </c15:formulaRef>
                      </c:ext>
                    </c:extLst>
                    <c:strCache>
                      <c:ptCount val="1"/>
                      <c:pt idx="0">
                        <c:v>Cost</c:v>
                      </c:pt>
                    </c:strCache>
                  </c:strRef>
                </c:tx>
                <c:spPr>
                  <a:solidFill>
                    <a:schemeClr val="accent2">
                      <a:lumMod val="60000"/>
                    </a:schemeClr>
                  </a:solidFill>
                  <a:ln>
                    <a:noFill/>
                  </a:ln>
                  <a:effectLst/>
                </c:spPr>
                <c:invertIfNegative val="0"/>
                <c:cat>
                  <c:strRef>
                    <c:extLst>
                      <c:ext uri="{02D57815-91ED-43cb-92C2-25804820EDAC}">
                        <c15:formulaRef>
                          <c15:sqref>'Neighborhood - TMY3'!$C$23:$R$23</c15:sqref>
                        </c15:formulaRef>
                      </c:ext>
                    </c:extLst>
                    <c:strCache>
                      <c:ptCount val="16"/>
                      <c:pt idx="0">
                        <c:v>262 Homes - Existing</c:v>
                      </c:pt>
                      <c:pt idx="1">
                        <c:v>262 Homes - Geo</c:v>
                      </c:pt>
                      <c:pt idx="2">
                        <c:v>262 Homes - Geo + Wx</c:v>
                      </c:pt>
                      <c:pt idx="3">
                        <c:v>262 Homes - Geo + PV + Wx</c:v>
                      </c:pt>
                      <c:pt idx="4">
                        <c:v>Community Center - Existing</c:v>
                      </c:pt>
                      <c:pt idx="5">
                        <c:v>Community Center - Geo</c:v>
                      </c:pt>
                      <c:pt idx="6">
                        <c:v>Bryant Elementary - Existing</c:v>
                      </c:pt>
                      <c:pt idx="7">
                        <c:v>Bryant Elementary - Geo</c:v>
                      </c:pt>
                      <c:pt idx="8">
                        <c:v>County Health - Existing</c:v>
                      </c:pt>
                      <c:pt idx="9">
                        <c:v>County Health - Geo</c:v>
                      </c:pt>
                      <c:pt idx="10">
                        <c:v>Wheeler Center - Existing</c:v>
                      </c:pt>
                      <c:pt idx="11">
                        <c:v>Wheeler Center - Geo</c:v>
                      </c:pt>
                      <c:pt idx="12">
                        <c:v>Wheeler Maintenance (S) - Existing</c:v>
                      </c:pt>
                      <c:pt idx="13">
                        <c:v>Wheeler Maintenance (S) - Geo</c:v>
                      </c:pt>
                      <c:pt idx="14">
                        <c:v>Wheeler Vehicle Storage (E) - Existing</c:v>
                      </c:pt>
                      <c:pt idx="15">
                        <c:v>Wheeler Vehicle Storage (E) - Geo</c:v>
                      </c:pt>
                    </c:strCache>
                  </c:strRef>
                </c:cat>
                <c:val>
                  <c:numRef>
                    <c:extLst>
                      <c:ext uri="{02D57815-91ED-43cb-92C2-25804820EDAC}">
                        <c15:formulaRef>
                          <c15:sqref>'Neighborhood - TMY3'!$C$42:$R$42</c15:sqref>
                        </c15:formulaRef>
                      </c:ext>
                    </c:extLst>
                    <c:numCache>
                      <c:formatCode>"$"#,##0</c:formatCode>
                      <c:ptCount val="16"/>
                      <c:pt idx="0">
                        <c:v>477465.06980299368</c:v>
                      </c:pt>
                      <c:pt idx="1">
                        <c:v>465189.19457547873</c:v>
                      </c:pt>
                      <c:pt idx="2">
                        <c:v>421020.15049393731</c:v>
                      </c:pt>
                      <c:pt idx="3">
                        <c:v>110920.34207500584</c:v>
                      </c:pt>
                      <c:pt idx="4">
                        <c:v>9001.4196047193382</c:v>
                      </c:pt>
                      <c:pt idx="5">
                        <c:v>8083.3994718796648</c:v>
                      </c:pt>
                      <c:pt idx="6">
                        <c:v>65374.02983602621</c:v>
                      </c:pt>
                      <c:pt idx="7">
                        <c:v>73149.594681915187</c:v>
                      </c:pt>
                      <c:pt idx="8">
                        <c:v>39189.921385380658</c:v>
                      </c:pt>
                      <c:pt idx="9">
                        <c:v>43889.839655589931</c:v>
                      </c:pt>
                      <c:pt idx="10">
                        <c:v>63421.240383887227</c:v>
                      </c:pt>
                      <c:pt idx="11">
                        <c:v>66674.363993607083</c:v>
                      </c:pt>
                      <c:pt idx="12">
                        <c:v>73280.091310861171</c:v>
                      </c:pt>
                      <c:pt idx="13">
                        <c:v>71869.444187560744</c:v>
                      </c:pt>
                      <c:pt idx="14">
                        <c:v>111466.26318682</c:v>
                      </c:pt>
                      <c:pt idx="15">
                        <c:v>112522.5392959513</c:v>
                      </c:pt>
                    </c:numCache>
                  </c:numRef>
                </c:val>
                <c:extLst>
                  <c:ext xmlns:c16="http://schemas.microsoft.com/office/drawing/2014/chart" uri="{C3380CC4-5D6E-409C-BE32-E72D297353CC}">
                    <c16:uniqueId val="{00000007-4454-4737-B2EC-B464186BFE07}"/>
                  </c:ext>
                </c:extLst>
              </c15:ser>
            </c15:filteredBarSeries>
          </c:ext>
        </c:extLst>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Energy Cost ($/yr)</a:t>
                </a:r>
              </a:p>
            </c:rich>
          </c:tx>
          <c:layout>
            <c:manualLayout>
              <c:xMode val="edge"/>
              <c:yMode val="edge"/>
              <c:x val="5.4158596352143373E-2"/>
              <c:y val="0.172719945439890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Carbon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'Neighborhood - TMY3'!$B$46</c:f>
              <c:strCache>
                <c:ptCount val="1"/>
                <c:pt idx="0">
                  <c:v>Carbon</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0-7B4F-4087-91D8-81795F7815B8}"/>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1-7B4F-4087-91D8-81795F7815B8}"/>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2-7B4F-4087-91D8-81795F7815B8}"/>
              </c:ext>
            </c:extLst>
          </c:dPt>
          <c:dPt>
            <c:idx val="9"/>
            <c:invertIfNegative val="0"/>
            <c:bubble3D val="0"/>
            <c:spPr>
              <a:solidFill>
                <a:schemeClr val="accent2"/>
              </a:solidFill>
              <a:ln>
                <a:noFill/>
              </a:ln>
              <a:effectLst/>
            </c:spPr>
            <c:extLst>
              <c:ext xmlns:c16="http://schemas.microsoft.com/office/drawing/2014/chart" uri="{C3380CC4-5D6E-409C-BE32-E72D297353CC}">
                <c16:uniqueId val="{00000003-7B4F-4087-91D8-81795F7815B8}"/>
              </c:ext>
            </c:extLst>
          </c:dPt>
          <c:dPt>
            <c:idx val="11"/>
            <c:invertIfNegative val="0"/>
            <c:bubble3D val="0"/>
            <c:spPr>
              <a:solidFill>
                <a:schemeClr val="accent2"/>
              </a:solidFill>
              <a:ln>
                <a:noFill/>
              </a:ln>
              <a:effectLst/>
            </c:spPr>
            <c:extLst>
              <c:ext xmlns:c16="http://schemas.microsoft.com/office/drawing/2014/chart" uri="{C3380CC4-5D6E-409C-BE32-E72D297353CC}">
                <c16:uniqueId val="{00000004-7B4F-4087-91D8-81795F7815B8}"/>
              </c:ext>
            </c:extLst>
          </c:dPt>
          <c:dPt>
            <c:idx val="13"/>
            <c:invertIfNegative val="0"/>
            <c:bubble3D val="0"/>
            <c:spPr>
              <a:solidFill>
                <a:schemeClr val="accent2"/>
              </a:solidFill>
              <a:ln>
                <a:noFill/>
              </a:ln>
              <a:effectLst/>
            </c:spPr>
            <c:extLst>
              <c:ext xmlns:c16="http://schemas.microsoft.com/office/drawing/2014/chart" uri="{C3380CC4-5D6E-409C-BE32-E72D297353CC}">
                <c16:uniqueId val="{00000005-7B4F-4087-91D8-81795F7815B8}"/>
              </c:ext>
            </c:extLst>
          </c:dPt>
          <c:dPt>
            <c:idx val="15"/>
            <c:invertIfNegative val="0"/>
            <c:bubble3D val="0"/>
            <c:spPr>
              <a:solidFill>
                <a:schemeClr val="accent2"/>
              </a:solidFill>
              <a:ln>
                <a:noFill/>
              </a:ln>
              <a:effectLst/>
            </c:spPr>
            <c:extLst>
              <c:ext xmlns:c16="http://schemas.microsoft.com/office/drawing/2014/chart" uri="{C3380CC4-5D6E-409C-BE32-E72D297353CC}">
                <c16:uniqueId val="{0000000D-FCD7-45C1-94B0-029828776A5C}"/>
              </c:ext>
            </c:extLst>
          </c:dPt>
          <c:cat>
            <c:strRef>
              <c:f>'Neighborhood - TMY3'!$C$23:$R$23</c:f>
              <c:strCache>
                <c:ptCount val="16"/>
                <c:pt idx="0">
                  <c:v>262 Homes - Existing</c:v>
                </c:pt>
                <c:pt idx="1">
                  <c:v>262 Homes - Geo</c:v>
                </c:pt>
                <c:pt idx="2">
                  <c:v>262 Homes - Geo + Wx</c:v>
                </c:pt>
                <c:pt idx="3">
                  <c:v>262 Homes - Geo + PV + Wx</c:v>
                </c:pt>
                <c:pt idx="4">
                  <c:v>Community Center - Existing</c:v>
                </c:pt>
                <c:pt idx="5">
                  <c:v>Community Center - Geo</c:v>
                </c:pt>
                <c:pt idx="6">
                  <c:v>Bryant Elementary - Existing</c:v>
                </c:pt>
                <c:pt idx="7">
                  <c:v>Bryant Elementary - Geo</c:v>
                </c:pt>
                <c:pt idx="8">
                  <c:v>County Health - Existing</c:v>
                </c:pt>
                <c:pt idx="9">
                  <c:v>County Health - Geo</c:v>
                </c:pt>
                <c:pt idx="10">
                  <c:v>Wheeler Center - Existing</c:v>
                </c:pt>
                <c:pt idx="11">
                  <c:v>Wheeler Center - Geo</c:v>
                </c:pt>
                <c:pt idx="12">
                  <c:v>Wheeler Maintenance (S) - Existing</c:v>
                </c:pt>
                <c:pt idx="13">
                  <c:v>Wheeler Maintenance (S) - Geo</c:v>
                </c:pt>
                <c:pt idx="14">
                  <c:v>Wheeler Vehicle Storage (E) - Existing</c:v>
                </c:pt>
                <c:pt idx="15">
                  <c:v>Wheeler Vehicle Storage (E) - Geo</c:v>
                </c:pt>
              </c:strCache>
            </c:strRef>
          </c:cat>
          <c:val>
            <c:numRef>
              <c:f>'Neighborhood - TMY3'!$C$46:$R$46</c:f>
              <c:numCache>
                <c:formatCode>#,##0</c:formatCode>
                <c:ptCount val="16"/>
                <c:pt idx="0">
                  <c:v>2083.251701551852</c:v>
                </c:pt>
                <c:pt idx="1">
                  <c:v>1611.6938489855152</c:v>
                </c:pt>
                <c:pt idx="2">
                  <c:v>1465.0048420653025</c:v>
                </c:pt>
                <c:pt idx="3">
                  <c:v>365.20766871887497</c:v>
                </c:pt>
                <c:pt idx="4">
                  <c:v>47.833682837939136</c:v>
                </c:pt>
                <c:pt idx="5">
                  <c:v>42.365852390701377</c:v>
                </c:pt>
                <c:pt idx="6">
                  <c:v>346.4071733234295</c:v>
                </c:pt>
                <c:pt idx="7">
                  <c:v>383.59005814591279</c:v>
                </c:pt>
                <c:pt idx="8">
                  <c:v>207.62058868092058</c:v>
                </c:pt>
                <c:pt idx="9">
                  <c:v>230.22331907392874</c:v>
                </c:pt>
                <c:pt idx="10">
                  <c:v>335.54251491514231</c:v>
                </c:pt>
                <c:pt idx="11">
                  <c:v>349.6494003385539</c:v>
                </c:pt>
                <c:pt idx="12">
                  <c:v>386.88251519724548</c:v>
                </c:pt>
                <c:pt idx="13">
                  <c:v>376.87951053781728</c:v>
                </c:pt>
                <c:pt idx="14">
                  <c:v>589.57546183426678</c:v>
                </c:pt>
                <c:pt idx="15">
                  <c:v>590.06596314909405</c:v>
                </c:pt>
              </c:numCache>
            </c:numRef>
          </c:val>
          <c:extLst>
            <c:ext xmlns:c16="http://schemas.microsoft.com/office/drawing/2014/chart" uri="{C3380CC4-5D6E-409C-BE32-E72D297353CC}">
              <c16:uniqueId val="{00000000-79B0-4AFB-9ECE-CCAA7C8C7FA3}"/>
            </c:ext>
          </c:extLst>
        </c:ser>
        <c:dLbls>
          <c:showLegendKey val="0"/>
          <c:showVal val="0"/>
          <c:showCatName val="0"/>
          <c:showSerName val="0"/>
          <c:showPercent val="0"/>
          <c:showBubbleSize val="0"/>
        </c:dLbls>
        <c:gapWidth val="150"/>
        <c:overlap val="100"/>
        <c:axId val="1219553984"/>
        <c:axId val="1219555952"/>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(tons)</a:t>
                </a:r>
              </a:p>
            </c:rich>
          </c:tx>
          <c:layout>
            <c:manualLayout>
              <c:xMode val="edge"/>
              <c:yMode val="edge"/>
              <c:x val="2.3276366166445513E-2"/>
              <c:y val="0.3972009592153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Energy End</a:t>
            </a:r>
            <a:r>
              <a:rPr lang="en-US" baseline="0"/>
              <a:t> Use 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'Neighborhood - TMY3'!$B$24</c:f>
              <c:strCache>
                <c:ptCount val="1"/>
                <c:pt idx="0">
                  <c:v>Lighting</c:v>
                </c:pt>
              </c:strCache>
            </c:strRef>
          </c:tx>
          <c:spPr>
            <a:solidFill>
              <a:schemeClr val="accent1"/>
            </a:solidFill>
            <a:ln>
              <a:noFill/>
            </a:ln>
            <a:effectLst/>
          </c:spPr>
          <c:invertIfNegative val="0"/>
          <c:cat>
            <c:strRef>
              <c:extLst>
                <c:ext xmlns:c15="http://schemas.microsoft.com/office/drawing/2012/chart" uri="{02D57815-91ED-43cb-92C2-25804820EDAC}">
                  <c15:fullRef>
                    <c15:sqref>'Neighborhood - TMY3'!$C$23:$R$23</c15:sqref>
                  </c15:fullRef>
                </c:ext>
              </c:extLst>
              <c:f>('Neighborhood - TMY3'!$C$23,'Neighborhood - TMY3'!$G$23,'Neighborhood - TMY3'!$I$23,'Neighborhood - TMY3'!$K$23,'Neighborhood - TMY3'!$M$23,'Neighborhood - TMY3'!$O$23,'Neighborhood - TMY3'!$Q$23)</c:f>
              <c:strCache>
                <c:ptCount val="7"/>
                <c:pt idx="0">
                  <c:v>262 Homes - Existing</c:v>
                </c:pt>
                <c:pt idx="1">
                  <c:v>Community Center - Existing</c:v>
                </c:pt>
                <c:pt idx="2">
                  <c:v>Bryant Elementary - Existing</c:v>
                </c:pt>
                <c:pt idx="3">
                  <c:v>County Health - Existing</c:v>
                </c:pt>
                <c:pt idx="4">
                  <c:v>Wheeler Center - Existing</c:v>
                </c:pt>
                <c:pt idx="5">
                  <c:v>Wheeler Maintenance (S) - Existing</c:v>
                </c:pt>
                <c:pt idx="6">
                  <c:v>Wheeler Vehicle Storage (E) - Existing</c:v>
                </c:pt>
              </c:strCache>
            </c:strRef>
          </c:cat>
          <c:val>
            <c:numRef>
              <c:extLst>
                <c:ext xmlns:c15="http://schemas.microsoft.com/office/drawing/2012/chart" uri="{02D57815-91ED-43cb-92C2-25804820EDAC}">
                  <c15:fullRef>
                    <c15:sqref>'Neighborhood - TMY3'!$C$24:$R$24</c15:sqref>
                  </c15:fullRef>
                </c:ext>
              </c:extLst>
              <c:f>('Neighborhood - TMY3'!$C$24,'Neighborhood - TMY3'!$G$24,'Neighborhood - TMY3'!$I$24,'Neighborhood - TMY3'!$K$24,'Neighborhood - TMY3'!$M$24,'Neighborhood - TMY3'!$O$24,'Neighborhood - TMY3'!$Q$24)</c:f>
              <c:numCache>
                <c:formatCode>#,##0.0</c:formatCode>
                <c:ptCount val="7"/>
                <c:pt idx="0">
                  <c:v>2.8661496566610816</c:v>
                </c:pt>
                <c:pt idx="1">
                  <c:v>8.3462056578356538</c:v>
                </c:pt>
                <c:pt idx="2">
                  <c:v>8.6401813974187807</c:v>
                </c:pt>
                <c:pt idx="3">
                  <c:v>7.4719048532514867</c:v>
                </c:pt>
                <c:pt idx="4">
                  <c:v>5.898783264150139</c:v>
                </c:pt>
                <c:pt idx="5">
                  <c:v>5.8987824193693763</c:v>
                </c:pt>
                <c:pt idx="6">
                  <c:v>5.8988341777027227</c:v>
                </c:pt>
              </c:numCache>
            </c:numRef>
          </c:val>
          <c:extLst>
            <c:ext xmlns:c16="http://schemas.microsoft.com/office/drawing/2014/chart" uri="{C3380CC4-5D6E-409C-BE32-E72D297353CC}">
              <c16:uniqueId val="{00000000-3D95-478B-9E3C-18D3F4A3A5BF}"/>
            </c:ext>
          </c:extLst>
        </c:ser>
        <c:ser>
          <c:idx val="1"/>
          <c:order val="1"/>
          <c:tx>
            <c:strRef>
              <c:f>'Neighborhood - TMY3'!$B$25</c:f>
              <c:strCache>
                <c:ptCount val="1"/>
                <c:pt idx="0">
                  <c:v>Heating</c:v>
                </c:pt>
              </c:strCache>
            </c:strRef>
          </c:tx>
          <c:spPr>
            <a:solidFill>
              <a:schemeClr val="accent2"/>
            </a:solidFill>
            <a:ln>
              <a:noFill/>
            </a:ln>
            <a:effectLst/>
          </c:spPr>
          <c:invertIfNegative val="0"/>
          <c:cat>
            <c:strRef>
              <c:extLst>
                <c:ext xmlns:c15="http://schemas.microsoft.com/office/drawing/2012/chart" uri="{02D57815-91ED-43cb-92C2-25804820EDAC}">
                  <c15:fullRef>
                    <c15:sqref>'Neighborhood - TMY3'!$C$23:$R$23</c15:sqref>
                  </c15:fullRef>
                </c:ext>
              </c:extLst>
              <c:f>('Neighborhood - TMY3'!$C$23,'Neighborhood - TMY3'!$G$23,'Neighborhood - TMY3'!$I$23,'Neighborhood - TMY3'!$K$23,'Neighborhood - TMY3'!$M$23,'Neighborhood - TMY3'!$O$23,'Neighborhood - TMY3'!$Q$23)</c:f>
              <c:strCache>
                <c:ptCount val="7"/>
                <c:pt idx="0">
                  <c:v>262 Homes - Existing</c:v>
                </c:pt>
                <c:pt idx="1">
                  <c:v>Community Center - Existing</c:v>
                </c:pt>
                <c:pt idx="2">
                  <c:v>Bryant Elementary - Existing</c:v>
                </c:pt>
                <c:pt idx="3">
                  <c:v>County Health - Existing</c:v>
                </c:pt>
                <c:pt idx="4">
                  <c:v>Wheeler Center - Existing</c:v>
                </c:pt>
                <c:pt idx="5">
                  <c:v>Wheeler Maintenance (S) - Existing</c:v>
                </c:pt>
                <c:pt idx="6">
                  <c:v>Wheeler Vehicle Storage (E) - Existing</c:v>
                </c:pt>
              </c:strCache>
            </c:strRef>
          </c:cat>
          <c:val>
            <c:numRef>
              <c:extLst>
                <c:ext xmlns:c15="http://schemas.microsoft.com/office/drawing/2012/chart" uri="{02D57815-91ED-43cb-92C2-25804820EDAC}">
                  <c15:fullRef>
                    <c15:sqref>'Neighborhood - TMY3'!$C$25:$R$25</c15:sqref>
                  </c15:fullRef>
                </c:ext>
              </c:extLst>
              <c:f>('Neighborhood - TMY3'!$C$25,'Neighborhood - TMY3'!$G$25,'Neighborhood - TMY3'!$I$25,'Neighborhood - TMY3'!$K$25,'Neighborhood - TMY3'!$M$25,'Neighborhood - TMY3'!$O$25,'Neighborhood - TMY3'!$Q$25)</c:f>
              <c:numCache>
                <c:formatCode>#,##0.0</c:formatCode>
                <c:ptCount val="7"/>
                <c:pt idx="0">
                  <c:v>73.382691301927309</c:v>
                </c:pt>
                <c:pt idx="1">
                  <c:v>70.794524023349794</c:v>
                </c:pt>
                <c:pt idx="2">
                  <c:v>30.158019403649309</c:v>
                </c:pt>
                <c:pt idx="3">
                  <c:v>30.788740328665515</c:v>
                </c:pt>
                <c:pt idx="4">
                  <c:v>34.340988801189887</c:v>
                </c:pt>
                <c:pt idx="5">
                  <c:v>29.339525529901305</c:v>
                </c:pt>
                <c:pt idx="6">
                  <c:v>35.709491897016562</c:v>
                </c:pt>
              </c:numCache>
            </c:numRef>
          </c:val>
          <c:extLst>
            <c:ext xmlns:c16="http://schemas.microsoft.com/office/drawing/2014/chart" uri="{C3380CC4-5D6E-409C-BE32-E72D297353CC}">
              <c16:uniqueId val="{00000001-3D95-478B-9E3C-18D3F4A3A5BF}"/>
            </c:ext>
          </c:extLst>
        </c:ser>
        <c:ser>
          <c:idx val="2"/>
          <c:order val="2"/>
          <c:tx>
            <c:strRef>
              <c:f>'Neighborhood - TMY3'!$B$26</c:f>
              <c:strCache>
                <c:ptCount val="1"/>
                <c:pt idx="0">
                  <c:v>Cooling</c:v>
                </c:pt>
              </c:strCache>
            </c:strRef>
          </c:tx>
          <c:spPr>
            <a:solidFill>
              <a:schemeClr val="accent3"/>
            </a:solidFill>
            <a:ln>
              <a:noFill/>
            </a:ln>
            <a:effectLst/>
          </c:spPr>
          <c:invertIfNegative val="0"/>
          <c:cat>
            <c:strRef>
              <c:extLst>
                <c:ext xmlns:c15="http://schemas.microsoft.com/office/drawing/2012/chart" uri="{02D57815-91ED-43cb-92C2-25804820EDAC}">
                  <c15:fullRef>
                    <c15:sqref>'Neighborhood - TMY3'!$C$23:$R$23</c15:sqref>
                  </c15:fullRef>
                </c:ext>
              </c:extLst>
              <c:f>('Neighborhood - TMY3'!$C$23,'Neighborhood - TMY3'!$G$23,'Neighborhood - TMY3'!$I$23,'Neighborhood - TMY3'!$K$23,'Neighborhood - TMY3'!$M$23,'Neighborhood - TMY3'!$O$23,'Neighborhood - TMY3'!$Q$23)</c:f>
              <c:strCache>
                <c:ptCount val="7"/>
                <c:pt idx="0">
                  <c:v>262 Homes - Existing</c:v>
                </c:pt>
                <c:pt idx="1">
                  <c:v>Community Center - Existing</c:v>
                </c:pt>
                <c:pt idx="2">
                  <c:v>Bryant Elementary - Existing</c:v>
                </c:pt>
                <c:pt idx="3">
                  <c:v>County Health - Existing</c:v>
                </c:pt>
                <c:pt idx="4">
                  <c:v>Wheeler Center - Existing</c:v>
                </c:pt>
                <c:pt idx="5">
                  <c:v>Wheeler Maintenance (S) - Existing</c:v>
                </c:pt>
                <c:pt idx="6">
                  <c:v>Wheeler Vehicle Storage (E) - Existing</c:v>
                </c:pt>
              </c:strCache>
            </c:strRef>
          </c:cat>
          <c:val>
            <c:numRef>
              <c:extLst>
                <c:ext xmlns:c15="http://schemas.microsoft.com/office/drawing/2012/chart" uri="{02D57815-91ED-43cb-92C2-25804820EDAC}">
                  <c15:fullRef>
                    <c15:sqref>'Neighborhood - TMY3'!$C$26:$R$26</c15:sqref>
                  </c15:fullRef>
                </c:ext>
              </c:extLst>
              <c:f>('Neighborhood - TMY3'!$C$26,'Neighborhood - TMY3'!$G$26,'Neighborhood - TMY3'!$I$26,'Neighborhood - TMY3'!$K$26,'Neighborhood - TMY3'!$M$26,'Neighborhood - TMY3'!$O$26,'Neighborhood - TMY3'!$Q$26)</c:f>
              <c:numCache>
                <c:formatCode>#,##0.0</c:formatCode>
                <c:ptCount val="7"/>
                <c:pt idx="0">
                  <c:v>7.4160544785349209</c:v>
                </c:pt>
                <c:pt idx="1">
                  <c:v>9.8665559048046703</c:v>
                </c:pt>
                <c:pt idx="2">
                  <c:v>5.0780970182465506</c:v>
                </c:pt>
                <c:pt idx="3">
                  <c:v>4.1893576955048273</c:v>
                </c:pt>
                <c:pt idx="4">
                  <c:v>6.2767003609153242</c:v>
                </c:pt>
                <c:pt idx="5">
                  <c:v>2.4440909056768163</c:v>
                </c:pt>
                <c:pt idx="6">
                  <c:v>0</c:v>
                </c:pt>
              </c:numCache>
            </c:numRef>
          </c:val>
          <c:extLst>
            <c:ext xmlns:c16="http://schemas.microsoft.com/office/drawing/2014/chart" uri="{C3380CC4-5D6E-409C-BE32-E72D297353CC}">
              <c16:uniqueId val="{00000002-3D95-478B-9E3C-18D3F4A3A5BF}"/>
            </c:ext>
          </c:extLst>
        </c:ser>
        <c:ser>
          <c:idx val="3"/>
          <c:order val="3"/>
          <c:tx>
            <c:strRef>
              <c:f>'Neighborhood - TMY3'!$B$27</c:f>
              <c:strCache>
                <c:ptCount val="1"/>
                <c:pt idx="0">
                  <c:v>Pumps</c:v>
                </c:pt>
              </c:strCache>
            </c:strRef>
          </c:tx>
          <c:spPr>
            <a:solidFill>
              <a:schemeClr val="accent4"/>
            </a:solidFill>
            <a:ln>
              <a:noFill/>
            </a:ln>
            <a:effectLst/>
          </c:spPr>
          <c:invertIfNegative val="0"/>
          <c:cat>
            <c:strRef>
              <c:extLst>
                <c:ext xmlns:c15="http://schemas.microsoft.com/office/drawing/2012/chart" uri="{02D57815-91ED-43cb-92C2-25804820EDAC}">
                  <c15:fullRef>
                    <c15:sqref>'Neighborhood - TMY3'!$C$23:$R$23</c15:sqref>
                  </c15:fullRef>
                </c:ext>
              </c:extLst>
              <c:f>('Neighborhood - TMY3'!$C$23,'Neighborhood - TMY3'!$G$23,'Neighborhood - TMY3'!$I$23,'Neighborhood - TMY3'!$K$23,'Neighborhood - TMY3'!$M$23,'Neighborhood - TMY3'!$O$23,'Neighborhood - TMY3'!$Q$23)</c:f>
              <c:strCache>
                <c:ptCount val="7"/>
                <c:pt idx="0">
                  <c:v>262 Homes - Existing</c:v>
                </c:pt>
                <c:pt idx="1">
                  <c:v>Community Center - Existing</c:v>
                </c:pt>
                <c:pt idx="2">
                  <c:v>Bryant Elementary - Existing</c:v>
                </c:pt>
                <c:pt idx="3">
                  <c:v>County Health - Existing</c:v>
                </c:pt>
                <c:pt idx="4">
                  <c:v>Wheeler Center - Existing</c:v>
                </c:pt>
                <c:pt idx="5">
                  <c:v>Wheeler Maintenance (S) - Existing</c:v>
                </c:pt>
                <c:pt idx="6">
                  <c:v>Wheeler Vehicle Storage (E) - Existing</c:v>
                </c:pt>
              </c:strCache>
            </c:strRef>
          </c:cat>
          <c:val>
            <c:numRef>
              <c:extLst>
                <c:ext xmlns:c15="http://schemas.microsoft.com/office/drawing/2012/chart" uri="{02D57815-91ED-43cb-92C2-25804820EDAC}">
                  <c15:fullRef>
                    <c15:sqref>'Neighborhood - TMY3'!$C$27:$R$27</c15:sqref>
                  </c15:fullRef>
                </c:ext>
              </c:extLst>
              <c:f>('Neighborhood - TMY3'!$C$27,'Neighborhood - TMY3'!$G$27,'Neighborhood - TMY3'!$I$27,'Neighborhood - TMY3'!$K$27,'Neighborhood - TMY3'!$M$27,'Neighborhood - TMY3'!$O$27,'Neighborhood - TMY3'!$Q$27)</c:f>
              <c:numCache>
                <c:formatCode>#,##0.0</c:formatCode>
                <c:ptCount val="7"/>
                <c:pt idx="0">
                  <c:v>1.0374741571325631E-3</c:v>
                </c:pt>
                <c:pt idx="1">
                  <c:v>3.5024696901661431E-4</c:v>
                </c:pt>
                <c:pt idx="2">
                  <c:v>5.4668446817979525E-4</c:v>
                </c:pt>
                <c:pt idx="3">
                  <c:v>7.4333397276040672E-4</c:v>
                </c:pt>
                <c:pt idx="4">
                  <c:v>7.0948496447431134E-3</c:v>
                </c:pt>
                <c:pt idx="5">
                  <c:v>4.7431987862218148E-3</c:v>
                </c:pt>
                <c:pt idx="6">
                  <c:v>5.9950226646520311E-4</c:v>
                </c:pt>
              </c:numCache>
            </c:numRef>
          </c:val>
          <c:extLst>
            <c:ext xmlns:c16="http://schemas.microsoft.com/office/drawing/2014/chart" uri="{C3380CC4-5D6E-409C-BE32-E72D297353CC}">
              <c16:uniqueId val="{00000003-3D95-478B-9E3C-18D3F4A3A5BF}"/>
            </c:ext>
          </c:extLst>
        </c:ser>
        <c:ser>
          <c:idx val="4"/>
          <c:order val="4"/>
          <c:tx>
            <c:strRef>
              <c:f>'Neighborhood - TMY3'!$B$28</c:f>
              <c:strCache>
                <c:ptCount val="1"/>
                <c:pt idx="0">
                  <c:v>Fans</c:v>
                </c:pt>
              </c:strCache>
            </c:strRef>
          </c:tx>
          <c:spPr>
            <a:solidFill>
              <a:schemeClr val="accent5"/>
            </a:solidFill>
            <a:ln>
              <a:noFill/>
            </a:ln>
            <a:effectLst/>
          </c:spPr>
          <c:invertIfNegative val="0"/>
          <c:cat>
            <c:strRef>
              <c:extLst>
                <c:ext xmlns:c15="http://schemas.microsoft.com/office/drawing/2012/chart" uri="{02D57815-91ED-43cb-92C2-25804820EDAC}">
                  <c15:fullRef>
                    <c15:sqref>'Neighborhood - TMY3'!$C$23:$R$23</c15:sqref>
                  </c15:fullRef>
                </c:ext>
              </c:extLst>
              <c:f>('Neighborhood - TMY3'!$C$23,'Neighborhood - TMY3'!$G$23,'Neighborhood - TMY3'!$I$23,'Neighborhood - TMY3'!$K$23,'Neighborhood - TMY3'!$M$23,'Neighborhood - TMY3'!$O$23,'Neighborhood - TMY3'!$Q$23)</c:f>
              <c:strCache>
                <c:ptCount val="7"/>
                <c:pt idx="0">
                  <c:v>262 Homes - Existing</c:v>
                </c:pt>
                <c:pt idx="1">
                  <c:v>Community Center - Existing</c:v>
                </c:pt>
                <c:pt idx="2">
                  <c:v>Bryant Elementary - Existing</c:v>
                </c:pt>
                <c:pt idx="3">
                  <c:v>County Health - Existing</c:v>
                </c:pt>
                <c:pt idx="4">
                  <c:v>Wheeler Center - Existing</c:v>
                </c:pt>
                <c:pt idx="5">
                  <c:v>Wheeler Maintenance (S) - Existing</c:v>
                </c:pt>
                <c:pt idx="6">
                  <c:v>Wheeler Vehicle Storage (E) - Existing</c:v>
                </c:pt>
              </c:strCache>
            </c:strRef>
          </c:cat>
          <c:val>
            <c:numRef>
              <c:extLst>
                <c:ext xmlns:c15="http://schemas.microsoft.com/office/drawing/2012/chart" uri="{02D57815-91ED-43cb-92C2-25804820EDAC}">
                  <c15:fullRef>
                    <c15:sqref>'Neighborhood - TMY3'!$C$28:$R$28</c15:sqref>
                  </c15:fullRef>
                </c:ext>
              </c:extLst>
              <c:f>('Neighborhood - TMY3'!$C$28,'Neighborhood - TMY3'!$G$28,'Neighborhood - TMY3'!$I$28,'Neighborhood - TMY3'!$K$28,'Neighborhood - TMY3'!$M$28,'Neighborhood - TMY3'!$O$28,'Neighborhood - TMY3'!$Q$28)</c:f>
              <c:numCache>
                <c:formatCode>#,##0.0</c:formatCode>
                <c:ptCount val="7"/>
                <c:pt idx="0">
                  <c:v>8.0651785950675983</c:v>
                </c:pt>
                <c:pt idx="1">
                  <c:v>8.3858756174225419</c:v>
                </c:pt>
                <c:pt idx="2">
                  <c:v>3.2730399643969736</c:v>
                </c:pt>
                <c:pt idx="3">
                  <c:v>2.9046236971673385</c:v>
                </c:pt>
                <c:pt idx="4">
                  <c:v>8.4986980691250569</c:v>
                </c:pt>
                <c:pt idx="5">
                  <c:v>18.22684873965359</c:v>
                </c:pt>
                <c:pt idx="6">
                  <c:v>17.10108671821764</c:v>
                </c:pt>
              </c:numCache>
            </c:numRef>
          </c:val>
          <c:extLst>
            <c:ext xmlns:c16="http://schemas.microsoft.com/office/drawing/2014/chart" uri="{C3380CC4-5D6E-409C-BE32-E72D297353CC}">
              <c16:uniqueId val="{00000004-3D95-478B-9E3C-18D3F4A3A5BF}"/>
            </c:ext>
          </c:extLst>
        </c:ser>
        <c:ser>
          <c:idx val="5"/>
          <c:order val="5"/>
          <c:tx>
            <c:strRef>
              <c:f>'Neighborhood - TMY3'!$B$29</c:f>
              <c:strCache>
                <c:ptCount val="1"/>
                <c:pt idx="0">
                  <c:v>Receptacles</c:v>
                </c:pt>
              </c:strCache>
            </c:strRef>
          </c:tx>
          <c:spPr>
            <a:solidFill>
              <a:schemeClr val="accent6"/>
            </a:solidFill>
            <a:ln>
              <a:noFill/>
            </a:ln>
            <a:effectLst/>
          </c:spPr>
          <c:invertIfNegative val="0"/>
          <c:cat>
            <c:strRef>
              <c:extLst>
                <c:ext xmlns:c15="http://schemas.microsoft.com/office/drawing/2012/chart" uri="{02D57815-91ED-43cb-92C2-25804820EDAC}">
                  <c15:fullRef>
                    <c15:sqref>'Neighborhood - TMY3'!$C$23:$R$23</c15:sqref>
                  </c15:fullRef>
                </c:ext>
              </c:extLst>
              <c:f>('Neighborhood - TMY3'!$C$23,'Neighborhood - TMY3'!$G$23,'Neighborhood - TMY3'!$I$23,'Neighborhood - TMY3'!$K$23,'Neighborhood - TMY3'!$M$23,'Neighborhood - TMY3'!$O$23,'Neighborhood - TMY3'!$Q$23)</c:f>
              <c:strCache>
                <c:ptCount val="7"/>
                <c:pt idx="0">
                  <c:v>262 Homes - Existing</c:v>
                </c:pt>
                <c:pt idx="1">
                  <c:v>Community Center - Existing</c:v>
                </c:pt>
                <c:pt idx="2">
                  <c:v>Bryant Elementary - Existing</c:v>
                </c:pt>
                <c:pt idx="3">
                  <c:v>County Health - Existing</c:v>
                </c:pt>
                <c:pt idx="4">
                  <c:v>Wheeler Center - Existing</c:v>
                </c:pt>
                <c:pt idx="5">
                  <c:v>Wheeler Maintenance (S) - Existing</c:v>
                </c:pt>
                <c:pt idx="6">
                  <c:v>Wheeler Vehicle Storage (E) - Existing</c:v>
                </c:pt>
              </c:strCache>
            </c:strRef>
          </c:cat>
          <c:val>
            <c:numRef>
              <c:extLst>
                <c:ext xmlns:c15="http://schemas.microsoft.com/office/drawing/2012/chart" uri="{02D57815-91ED-43cb-92C2-25804820EDAC}">
                  <c15:fullRef>
                    <c15:sqref>'Neighborhood - TMY3'!$C$29:$R$29</c15:sqref>
                  </c15:fullRef>
                </c:ext>
              </c:extLst>
              <c:f>('Neighborhood - TMY3'!$C$29,'Neighborhood - TMY3'!$G$29,'Neighborhood - TMY3'!$I$29,'Neighborhood - TMY3'!$K$29,'Neighborhood - TMY3'!$M$29,'Neighborhood - TMY3'!$O$29,'Neighborhood - TMY3'!$Q$29)</c:f>
              <c:numCache>
                <c:formatCode>#,##0.0</c:formatCode>
                <c:ptCount val="7"/>
                <c:pt idx="0">
                  <c:v>10.279137099655712</c:v>
                </c:pt>
                <c:pt idx="1">
                  <c:v>9.1584710372698694</c:v>
                </c:pt>
                <c:pt idx="2">
                  <c:v>5.8465055629728528</c:v>
                </c:pt>
                <c:pt idx="3">
                  <c:v>10.188866615512501</c:v>
                </c:pt>
                <c:pt idx="4">
                  <c:v>11.417891151230233</c:v>
                </c:pt>
                <c:pt idx="5">
                  <c:v>11.417889473703976</c:v>
                </c:pt>
                <c:pt idx="6">
                  <c:v>11.417989512043375</c:v>
                </c:pt>
              </c:numCache>
            </c:numRef>
          </c:val>
          <c:extLst>
            <c:ext xmlns:c16="http://schemas.microsoft.com/office/drawing/2014/chart" uri="{C3380CC4-5D6E-409C-BE32-E72D297353CC}">
              <c16:uniqueId val="{00000005-3D95-478B-9E3C-18D3F4A3A5BF}"/>
            </c:ext>
          </c:extLst>
        </c:ser>
        <c:ser>
          <c:idx val="6"/>
          <c:order val="6"/>
          <c:tx>
            <c:strRef>
              <c:f>'Neighborhood - TMY3'!$B$30</c:f>
              <c:strCache>
                <c:ptCount val="1"/>
                <c:pt idx="0">
                  <c:v>DHW</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'Neighborhood - TMY3'!$C$23:$R$23</c15:sqref>
                  </c15:fullRef>
                </c:ext>
              </c:extLst>
              <c:f>('Neighborhood - TMY3'!$C$23,'Neighborhood - TMY3'!$G$23,'Neighborhood - TMY3'!$I$23,'Neighborhood - TMY3'!$K$23,'Neighborhood - TMY3'!$M$23,'Neighborhood - TMY3'!$O$23,'Neighborhood - TMY3'!$Q$23)</c:f>
              <c:strCache>
                <c:ptCount val="7"/>
                <c:pt idx="0">
                  <c:v>262 Homes - Existing</c:v>
                </c:pt>
                <c:pt idx="1">
                  <c:v>Community Center - Existing</c:v>
                </c:pt>
                <c:pt idx="2">
                  <c:v>Bryant Elementary - Existing</c:v>
                </c:pt>
                <c:pt idx="3">
                  <c:v>County Health - Existing</c:v>
                </c:pt>
                <c:pt idx="4">
                  <c:v>Wheeler Center - Existing</c:v>
                </c:pt>
                <c:pt idx="5">
                  <c:v>Wheeler Maintenance (S) - Existing</c:v>
                </c:pt>
                <c:pt idx="6">
                  <c:v>Wheeler Vehicle Storage (E) - Existing</c:v>
                </c:pt>
              </c:strCache>
            </c:strRef>
          </c:cat>
          <c:val>
            <c:numRef>
              <c:extLst>
                <c:ext xmlns:c15="http://schemas.microsoft.com/office/drawing/2012/chart" uri="{02D57815-91ED-43cb-92C2-25804820EDAC}">
                  <c15:fullRef>
                    <c15:sqref>'Neighborhood - TMY3'!$C$30:$R$30</c15:sqref>
                  </c15:fullRef>
                </c:ext>
              </c:extLst>
              <c:f>('Neighborhood - TMY3'!$C$30,'Neighborhood - TMY3'!$G$30,'Neighborhood - TMY3'!$I$30,'Neighborhood - TMY3'!$K$30,'Neighborhood - TMY3'!$M$30,'Neighborhood - TMY3'!$O$30,'Neighborhood - TMY3'!$Q$30)</c:f>
              <c:numCache>
                <c:formatCode>#,##0.0</c:formatCode>
                <c:ptCount val="7"/>
                <c:pt idx="0">
                  <c:v>8.8102433473171562</c:v>
                </c:pt>
                <c:pt idx="1">
                  <c:v>2.9049259092950157</c:v>
                </c:pt>
                <c:pt idx="2">
                  <c:v>3.8429651980418336</c:v>
                </c:pt>
                <c:pt idx="3">
                  <c:v>5.1927677600869622</c:v>
                </c:pt>
                <c:pt idx="4">
                  <c:v>4.9933007511761467</c:v>
                </c:pt>
                <c:pt idx="5">
                  <c:v>5.0049107880544996</c:v>
                </c:pt>
                <c:pt idx="6">
                  <c:v>4.9723272005451369</c:v>
                </c:pt>
              </c:numCache>
            </c:numRef>
          </c:val>
          <c:extLst>
            <c:ext xmlns:c16="http://schemas.microsoft.com/office/drawing/2014/chart" uri="{C3380CC4-5D6E-409C-BE32-E72D297353CC}">
              <c16:uniqueId val="{00000006-3D95-478B-9E3C-18D3F4A3A5BF}"/>
            </c:ext>
          </c:extLst>
        </c:ser>
        <c:dLbls>
          <c:showLegendKey val="0"/>
          <c:showVal val="0"/>
          <c:showCatName val="0"/>
          <c:showSerName val="0"/>
          <c:showPercent val="0"/>
          <c:showBubbleSize val="0"/>
        </c:dLbls>
        <c:gapWidth val="150"/>
        <c:overlap val="100"/>
        <c:axId val="1219553984"/>
        <c:axId val="1219555952"/>
        <c:extLst>
          <c:ext xmlns:c15="http://schemas.microsoft.com/office/drawing/2012/chart" uri="{02D57815-91ED-43cb-92C2-25804820EDAC}">
            <c15:filteredBarSeries>
              <c15:ser>
                <c:idx val="7"/>
                <c:order val="7"/>
                <c:tx>
                  <c:strRef>
                    <c:extLst>
                      <c:ext uri="{02D57815-91ED-43cb-92C2-25804820EDAC}">
                        <c15:formulaRef>
                          <c15:sqref>'Neighborhood - TMY3'!$B$31</c15:sqref>
                        </c15:formulaRef>
                      </c:ext>
                    </c:extLst>
                    <c:strCache>
                      <c:ptCount val="1"/>
                      <c:pt idx="0">
                        <c:v>EUI</c:v>
                      </c:pt>
                    </c:strCache>
                  </c:strRef>
                </c:tx>
                <c:spPr>
                  <a:pattFill prst="ltUpDiag">
                    <a:fgClr>
                      <a:schemeClr val="accent3"/>
                    </a:fgClr>
                    <a:bgClr>
                      <a:schemeClr val="bg1"/>
                    </a:bgClr>
                  </a:pattFill>
                  <a:ln>
                    <a:noFill/>
                  </a:ln>
                  <a:effectLst/>
                </c:spPr>
                <c:invertIfNegative val="0"/>
                <c:dLbls>
                  <c:dLbl>
                    <c:idx val="0"/>
                    <c:tx>
                      <c:rich>
                        <a:bodyPr/>
                        <a:lstStyle/>
                        <a:p>
                          <a:fld id="{E2A9BCEC-645C-4092-8395-C016C52FB78B}"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7-3D95-478B-9E3C-18D3F4A3A5BF}"/>
                      </c:ext>
                    </c:extLst>
                  </c:dLbl>
                  <c:dLbl>
                    <c:idx val="1"/>
                    <c:tx>
                      <c:rich>
                        <a:bodyPr/>
                        <a:lstStyle/>
                        <a:p>
                          <a:fld id="{B7D1617F-7E82-4DB2-94E6-89D536AEB3BA}"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B-3D95-478B-9E3C-18D3F4A3A5BF}"/>
                      </c:ext>
                    </c:extLst>
                  </c:dLbl>
                  <c:dLbl>
                    <c:idx val="2"/>
                    <c:tx>
                      <c:rich>
                        <a:bodyPr/>
                        <a:lstStyle/>
                        <a:p>
                          <a:fld id="{92B9EF15-34A0-403F-90FB-1D5C4B0F5756}"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D-3D95-478B-9E3C-18D3F4A3A5BF}"/>
                      </c:ext>
                    </c:extLst>
                  </c:dLbl>
                  <c:dLbl>
                    <c:idx val="3"/>
                    <c:tx>
                      <c:rich>
                        <a:bodyPr/>
                        <a:lstStyle/>
                        <a:p>
                          <a:fld id="{48D15C26-0455-4009-A662-81E351B95692}" type="CELLRANGE">
                            <a:rPr lang="en-US"/>
                            <a:pPr/>
                            <a:t>[CELLRANGE]</a:t>
                          </a:fld>
                          <a:endParaRPr lang="en-US"/>
                        </a:p>
                      </c:rich>
                    </c:tx>
                    <c:dLblPos val="ctr"/>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F-3D95-478B-9E3C-18D3F4A3A5BF}"/>
                      </c:ext>
                    </c:extLst>
                  </c:dLbl>
                  <c:dLbl>
                    <c:idx val="4"/>
                    <c:tx>
                      <c:rich>
                        <a:bodyPr/>
                        <a:lstStyle/>
                        <a:p>
                          <a:endParaRPr lang="en-US"/>
                        </a:p>
                      </c:rich>
                    </c:tx>
                    <c:dLblPos val="ctr"/>
                    <c:showLegendKey val="0"/>
                    <c:showVal val="0"/>
                    <c:showCatName val="0"/>
                    <c:showSerName val="0"/>
                    <c:showPercent val="0"/>
                    <c:showBubbleSize val="0"/>
                    <c:extLst>
                      <c:ext uri="{CE6537A1-D6FC-4f65-9D91-7224C49458BB}">
                        <c15:showDataLabelsRange val="1"/>
                      </c:ext>
                      <c:ext xmlns:c16="http://schemas.microsoft.com/office/drawing/2014/chart" uri="{C3380CC4-5D6E-409C-BE32-E72D297353CC}">
                        <c16:uniqueId val="{00000011-3D95-478B-9E3C-18D3F4A3A5BF}"/>
                      </c:ext>
                    </c:extLst>
                  </c:dLbl>
                  <c:dLbl>
                    <c:idx val="5"/>
                    <c:tx>
                      <c:rich>
                        <a:bodyPr/>
                        <a:lstStyle/>
                        <a:p>
                          <a:endParaRPr lang="en-US"/>
                        </a:p>
                      </c:rich>
                    </c:tx>
                    <c:dLblPos val="ctr"/>
                    <c:showLegendKey val="0"/>
                    <c:showVal val="0"/>
                    <c:showCatName val="0"/>
                    <c:showSerName val="0"/>
                    <c:showPercent val="0"/>
                    <c:showBubbleSize val="0"/>
                    <c:extLst>
                      <c:ext uri="{CE6537A1-D6FC-4f65-9D91-7224C49458BB}">
                        <c15:showDataLabelsRange val="1"/>
                      </c:ext>
                      <c:ext xmlns:c16="http://schemas.microsoft.com/office/drawing/2014/chart" uri="{C3380CC4-5D6E-409C-BE32-E72D297353CC}">
                        <c16:uniqueId val="{00000013-3D95-478B-9E3C-18D3F4A3A5BF}"/>
                      </c:ext>
                    </c:extLst>
                  </c:dLbl>
                  <c:dLbl>
                    <c:idx val="6"/>
                    <c:tx>
                      <c:rich>
                        <a:bodyPr/>
                        <a:lstStyle/>
                        <a:p>
                          <a:endParaRPr lang="en-US"/>
                        </a:p>
                      </c:rich>
                    </c:tx>
                    <c:dLblPos val="ctr"/>
                    <c:showLegendKey val="0"/>
                    <c:showVal val="0"/>
                    <c:showCatName val="0"/>
                    <c:showSerName val="0"/>
                    <c:showPercent val="0"/>
                    <c:showBubbleSize val="0"/>
                    <c:extLst>
                      <c:ext uri="{CE6537A1-D6FC-4f65-9D91-7224C49458BB}">
                        <c15:showDataLabelsRange val="1"/>
                      </c:ext>
                      <c:ext xmlns:c16="http://schemas.microsoft.com/office/drawing/2014/chart" uri="{C3380CC4-5D6E-409C-BE32-E72D297353CC}">
                        <c16:uniqueId val="{00000015-3D95-478B-9E3C-18D3F4A3A5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ct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'Neighborhood - TMY3'!$C$23:$R$23</c15:sqref>
                        </c15:fullRef>
                        <c15:formulaRef>
                          <c15:sqref>('Neighborhood - TMY3'!$C$23,'Neighborhood - TMY3'!$G$23,'Neighborhood - TMY3'!$I$23,'Neighborhood - TMY3'!$K$23,'Neighborhood - TMY3'!$M$23,'Neighborhood - TMY3'!$O$23,'Neighborhood - TMY3'!$Q$23)</c15:sqref>
                        </c15:formulaRef>
                      </c:ext>
                    </c:extLst>
                    <c:strCache>
                      <c:ptCount val="7"/>
                      <c:pt idx="0">
                        <c:v>262 Homes - Existing</c:v>
                      </c:pt>
                      <c:pt idx="1">
                        <c:v>Community Center - Existing</c:v>
                      </c:pt>
                      <c:pt idx="2">
                        <c:v>Bryant Elementary - Existing</c:v>
                      </c:pt>
                      <c:pt idx="3">
                        <c:v>County Health - Existing</c:v>
                      </c:pt>
                      <c:pt idx="4">
                        <c:v>Wheeler Center - Existing</c:v>
                      </c:pt>
                      <c:pt idx="5">
                        <c:v>Wheeler Maintenance (S) - Existing</c:v>
                      </c:pt>
                      <c:pt idx="6">
                        <c:v>Wheeler Vehicle Storage (E) - Existing</c:v>
                      </c:pt>
                    </c:strCache>
                  </c:strRef>
                </c:cat>
                <c:val>
                  <c:numRef>
                    <c:extLst>
                      <c:ext uri="{02D57815-91ED-43cb-92C2-25804820EDAC}">
                        <c15:fullRef>
                          <c15:sqref>'Neighborhood - TMY3'!$C$31:$R$31</c15:sqref>
                        </c15:fullRef>
                        <c15:formulaRef>
                          <c15:sqref>('Neighborhood - TMY3'!$C$31,'Neighborhood - TMY3'!$G$31,'Neighborhood - TMY3'!$I$31,'Neighborhood - TMY3'!$K$31,'Neighborhood - TMY3'!$M$31,'Neighborhood - TMY3'!$O$31,'Neighborhood - TMY3'!$Q$31)</c15:sqref>
                        </c15:formulaRef>
                      </c:ext>
                    </c:extLst>
                    <c:numCache>
                      <c:formatCode>#,##0.0</c:formatCode>
                      <c:ptCount val="7"/>
                      <c:pt idx="0">
                        <c:v>110.82049195332092</c:v>
                      </c:pt>
                      <c:pt idx="1">
                        <c:v>109.45690839694656</c:v>
                      </c:pt>
                      <c:pt idx="2">
                        <c:v>56.839355229194489</c:v>
                      </c:pt>
                      <c:pt idx="3">
                        <c:v>60.737004284161387</c:v>
                      </c:pt>
                      <c:pt idx="4">
                        <c:v>71.433457247431534</c:v>
                      </c:pt>
                      <c:pt idx="5">
                        <c:v>72.336791055145781</c:v>
                      </c:pt>
                      <c:pt idx="6">
                        <c:v>75.100329007791899</c:v>
                      </c:pt>
                    </c:numCache>
                  </c:numRef>
                </c:val>
                <c:extLst>
                  <c:ext uri="{02D57815-91ED-43cb-92C2-25804820EDAC}">
                    <c15:datalabelsRange>
                      <c15:f>'DB-End Use'!$C$16:$N$16</c15:f>
                      <c15:dlblRangeCache>
                        <c:ptCount val="9"/>
                        <c:pt idx="1">
                          <c:v>Energy Savings: 21%</c:v>
                        </c:pt>
                        <c:pt idx="2">
                          <c:v>Energy Savings: 38%</c:v>
                        </c:pt>
                        <c:pt idx="3">
                          <c:v>Energy Savings: 31%</c:v>
                        </c:pt>
                        <c:pt idx="4">
                          <c:v>Energy Savings: 16%</c:v>
                        </c:pt>
                        <c:pt idx="5">
                          <c:v>Energy Savings: 28%</c:v>
                        </c:pt>
                        <c:pt idx="6">
                          <c:v>Energy Savings: 38%</c:v>
                        </c:pt>
                        <c:pt idx="7">
                          <c:v>Energy Savings: 62%</c:v>
                        </c:pt>
                        <c:pt idx="8">
                          <c:v>Energy Savings: 69%</c:v>
                        </c:pt>
                      </c15:dlblRangeCache>
                    </c15:datalabelsRange>
                  </c:ext>
                  <c:ext xmlns:c16="http://schemas.microsoft.com/office/drawing/2014/chart" uri="{C3380CC4-5D6E-409C-BE32-E72D297353CC}">
                    <c16:uniqueId val="{00000017-3D95-478B-9E3C-18D3F4A3A5BF}"/>
                  </c:ext>
                </c:extLst>
              </c15:ser>
            </c15:filteredBarSeries>
          </c:ext>
        </c:extLst>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Energy Use Intensity (kBtu/ft</a:t>
                </a:r>
                <a:r>
                  <a:rPr lang="en-US" baseline="30000"/>
                  <a:t>2</a:t>
                </a:r>
                <a:r>
                  <a:rPr lang="en-US"/>
                  <a:t>/yr)</a:t>
                </a:r>
              </a:p>
            </c:rich>
          </c:tx>
          <c:layout>
            <c:manualLayout>
              <c:xMode val="edge"/>
              <c:yMode val="edge"/>
              <c:x val="5.4158596352143373E-2"/>
              <c:y val="0.172719945439890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Energy Cost </a:t>
            </a:r>
            <a:r>
              <a:rPr lang="en-US" baseline="0"/>
              <a:t>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'Neighborhood - TMY3'!$B$35</c:f>
              <c:strCache>
                <c:ptCount val="1"/>
                <c:pt idx="0">
                  <c:v>Lighting</c:v>
                </c:pt>
              </c:strCache>
            </c:strRef>
          </c:tx>
          <c:spPr>
            <a:solidFill>
              <a:schemeClr val="accent1"/>
            </a:solidFill>
            <a:ln>
              <a:noFill/>
            </a:ln>
            <a:effectLst/>
          </c:spPr>
          <c:invertIfNegative val="0"/>
          <c:cat>
            <c:strRef>
              <c:extLst>
                <c:ext xmlns:c15="http://schemas.microsoft.com/office/drawing/2012/chart" uri="{02D57815-91ED-43cb-92C2-25804820EDAC}">
                  <c15:fullRef>
                    <c15:sqref>'Neighborhood - TMY3'!$C$23:$R$23</c15:sqref>
                  </c15:fullRef>
                </c:ext>
              </c:extLst>
              <c:f>('Neighborhood - TMY3'!$C$23,'Neighborhood - TMY3'!$G$23,'Neighborhood - TMY3'!$I$23,'Neighborhood - TMY3'!$K$23,'Neighborhood - TMY3'!$M$23,'Neighborhood - TMY3'!$O$23,'Neighborhood - TMY3'!$Q$23)</c:f>
              <c:strCache>
                <c:ptCount val="7"/>
                <c:pt idx="0">
                  <c:v>262 Homes - Existing</c:v>
                </c:pt>
                <c:pt idx="1">
                  <c:v>Community Center - Existing</c:v>
                </c:pt>
                <c:pt idx="2">
                  <c:v>Bryant Elementary - Existing</c:v>
                </c:pt>
                <c:pt idx="3">
                  <c:v>County Health - Existing</c:v>
                </c:pt>
                <c:pt idx="4">
                  <c:v>Wheeler Center - Existing</c:v>
                </c:pt>
                <c:pt idx="5">
                  <c:v>Wheeler Maintenance (S) - Existing</c:v>
                </c:pt>
                <c:pt idx="6">
                  <c:v>Wheeler Vehicle Storage (E) - Existing</c:v>
                </c:pt>
              </c:strCache>
            </c:strRef>
          </c:cat>
          <c:val>
            <c:numRef>
              <c:extLst>
                <c:ext xmlns:c15="http://schemas.microsoft.com/office/drawing/2012/chart" uri="{02D57815-91ED-43cb-92C2-25804820EDAC}">
                  <c15:fullRef>
                    <c15:sqref>'Neighborhood - TMY3'!$C$35:$R$35</c15:sqref>
                  </c15:fullRef>
                </c:ext>
              </c:extLst>
              <c:f>('Neighborhood - TMY3'!$C$35,'Neighborhood - TMY3'!$G$35,'Neighborhood - TMY3'!$I$35,'Neighborhood - TMY3'!$K$35,'Neighborhood - TMY3'!$M$35,'Neighborhood - TMY3'!$O$35,'Neighborhood - TMY3'!$Q$35)</c:f>
              <c:numCache>
                <c:formatCode>"$"#,##0</c:formatCode>
                <c:ptCount val="7"/>
                <c:pt idx="0">
                  <c:v>36172.469482869688</c:v>
                </c:pt>
                <c:pt idx="1">
                  <c:v>1356.3339385065885</c:v>
                </c:pt>
                <c:pt idx="2">
                  <c:v>17708.968923572473</c:v>
                </c:pt>
                <c:pt idx="3">
                  <c:v>8527.0270875549049</c:v>
                </c:pt>
                <c:pt idx="4">
                  <c:v>8786.2815595900429</c:v>
                </c:pt>
                <c:pt idx="5">
                  <c:v>9169.4168907759886</c:v>
                </c:pt>
                <c:pt idx="6">
                  <c:v>14529.005803806735</c:v>
                </c:pt>
              </c:numCache>
            </c:numRef>
          </c:val>
          <c:extLst>
            <c:ext xmlns:c16="http://schemas.microsoft.com/office/drawing/2014/chart" uri="{C3380CC4-5D6E-409C-BE32-E72D297353CC}">
              <c16:uniqueId val="{00000000-8359-4881-8647-EB0E7A23F6EF}"/>
            </c:ext>
          </c:extLst>
        </c:ser>
        <c:ser>
          <c:idx val="1"/>
          <c:order val="1"/>
          <c:tx>
            <c:strRef>
              <c:f>'Neighborhood - TMY3'!$B$36</c:f>
              <c:strCache>
                <c:ptCount val="1"/>
                <c:pt idx="0">
                  <c:v>Heating</c:v>
                </c:pt>
              </c:strCache>
            </c:strRef>
          </c:tx>
          <c:spPr>
            <a:solidFill>
              <a:schemeClr val="accent2"/>
            </a:solidFill>
            <a:ln>
              <a:noFill/>
            </a:ln>
            <a:effectLst/>
          </c:spPr>
          <c:invertIfNegative val="0"/>
          <c:cat>
            <c:strRef>
              <c:extLst>
                <c:ext xmlns:c15="http://schemas.microsoft.com/office/drawing/2012/chart" uri="{02D57815-91ED-43cb-92C2-25804820EDAC}">
                  <c15:fullRef>
                    <c15:sqref>'Neighborhood - TMY3'!$C$23:$R$23</c15:sqref>
                  </c15:fullRef>
                </c:ext>
              </c:extLst>
              <c:f>('Neighborhood - TMY3'!$C$23,'Neighborhood - TMY3'!$G$23,'Neighborhood - TMY3'!$I$23,'Neighborhood - TMY3'!$K$23,'Neighborhood - TMY3'!$M$23,'Neighborhood - TMY3'!$O$23,'Neighborhood - TMY3'!$Q$23)</c:f>
              <c:strCache>
                <c:ptCount val="7"/>
                <c:pt idx="0">
                  <c:v>262 Homes - Existing</c:v>
                </c:pt>
                <c:pt idx="1">
                  <c:v>Community Center - Existing</c:v>
                </c:pt>
                <c:pt idx="2">
                  <c:v>Bryant Elementary - Existing</c:v>
                </c:pt>
                <c:pt idx="3">
                  <c:v>County Health - Existing</c:v>
                </c:pt>
                <c:pt idx="4">
                  <c:v>Wheeler Center - Existing</c:v>
                </c:pt>
                <c:pt idx="5">
                  <c:v>Wheeler Maintenance (S) - Existing</c:v>
                </c:pt>
                <c:pt idx="6">
                  <c:v>Wheeler Vehicle Storage (E) - Existing</c:v>
                </c:pt>
              </c:strCache>
            </c:strRef>
          </c:cat>
          <c:val>
            <c:numRef>
              <c:extLst>
                <c:ext xmlns:c15="http://schemas.microsoft.com/office/drawing/2012/chart" uri="{02D57815-91ED-43cb-92C2-25804820EDAC}">
                  <c15:fullRef>
                    <c15:sqref>'Neighborhood - TMY3'!$C$36:$R$36</c15:sqref>
                  </c15:fullRef>
                </c:ext>
              </c:extLst>
              <c:f>('Neighborhood - TMY3'!$C$36,'Neighborhood - TMY3'!$G$36,'Neighborhood - TMY3'!$I$36,'Neighborhood - TMY3'!$K$36,'Neighborhood - TMY3'!$M$36,'Neighborhood - TMY3'!$O$36,'Neighborhood - TMY3'!$Q$36)</c:f>
              <c:numCache>
                <c:formatCode>"$"#,##0</c:formatCode>
                <c:ptCount val="7"/>
                <c:pt idx="0">
                  <c:v>127215.09726974953</c:v>
                </c:pt>
                <c:pt idx="1">
                  <c:v>3064.7524569632496</c:v>
                </c:pt>
                <c:pt idx="2">
                  <c:v>16466.125470986462</c:v>
                </c:pt>
                <c:pt idx="3">
                  <c:v>9360.0122930367506</c:v>
                </c:pt>
                <c:pt idx="4">
                  <c:v>13627.998804214118</c:v>
                </c:pt>
                <c:pt idx="5">
                  <c:v>12150.027281471266</c:v>
                </c:pt>
                <c:pt idx="6">
                  <c:v>23429.961168278533</c:v>
                </c:pt>
              </c:numCache>
            </c:numRef>
          </c:val>
          <c:extLst>
            <c:ext xmlns:c16="http://schemas.microsoft.com/office/drawing/2014/chart" uri="{C3380CC4-5D6E-409C-BE32-E72D297353CC}">
              <c16:uniqueId val="{00000001-8359-4881-8647-EB0E7A23F6EF}"/>
            </c:ext>
          </c:extLst>
        </c:ser>
        <c:ser>
          <c:idx val="2"/>
          <c:order val="2"/>
          <c:tx>
            <c:strRef>
              <c:f>'Neighborhood - TMY3'!$B$37</c:f>
              <c:strCache>
                <c:ptCount val="1"/>
                <c:pt idx="0">
                  <c:v>Cooling</c:v>
                </c:pt>
              </c:strCache>
            </c:strRef>
          </c:tx>
          <c:spPr>
            <a:solidFill>
              <a:schemeClr val="accent3"/>
            </a:solidFill>
            <a:ln>
              <a:noFill/>
            </a:ln>
            <a:effectLst/>
          </c:spPr>
          <c:invertIfNegative val="0"/>
          <c:cat>
            <c:strRef>
              <c:extLst>
                <c:ext xmlns:c15="http://schemas.microsoft.com/office/drawing/2012/chart" uri="{02D57815-91ED-43cb-92C2-25804820EDAC}">
                  <c15:fullRef>
                    <c15:sqref>'Neighborhood - TMY3'!$C$23:$R$23</c15:sqref>
                  </c15:fullRef>
                </c:ext>
              </c:extLst>
              <c:f>('Neighborhood - TMY3'!$C$23,'Neighborhood - TMY3'!$G$23,'Neighborhood - TMY3'!$I$23,'Neighborhood - TMY3'!$K$23,'Neighborhood - TMY3'!$M$23,'Neighborhood - TMY3'!$O$23,'Neighborhood - TMY3'!$Q$23)</c:f>
              <c:strCache>
                <c:ptCount val="7"/>
                <c:pt idx="0">
                  <c:v>262 Homes - Existing</c:v>
                </c:pt>
                <c:pt idx="1">
                  <c:v>Community Center - Existing</c:v>
                </c:pt>
                <c:pt idx="2">
                  <c:v>Bryant Elementary - Existing</c:v>
                </c:pt>
                <c:pt idx="3">
                  <c:v>County Health - Existing</c:v>
                </c:pt>
                <c:pt idx="4">
                  <c:v>Wheeler Center - Existing</c:v>
                </c:pt>
                <c:pt idx="5">
                  <c:v>Wheeler Maintenance (S) - Existing</c:v>
                </c:pt>
                <c:pt idx="6">
                  <c:v>Wheeler Vehicle Storage (E) - Existing</c:v>
                </c:pt>
              </c:strCache>
            </c:strRef>
          </c:cat>
          <c:val>
            <c:numRef>
              <c:extLst>
                <c:ext xmlns:c15="http://schemas.microsoft.com/office/drawing/2012/chart" uri="{02D57815-91ED-43cb-92C2-25804820EDAC}">
                  <c15:fullRef>
                    <c15:sqref>'Neighborhood - TMY3'!$C$37:$R$37</c15:sqref>
                  </c15:fullRef>
                </c:ext>
              </c:extLst>
              <c:f>('Neighborhood - TMY3'!$C$37,'Neighborhood - TMY3'!$G$37,'Neighborhood - TMY3'!$I$37,'Neighborhood - TMY3'!$K$37,'Neighborhood - TMY3'!$M$37,'Neighborhood - TMY3'!$O$37,'Neighborhood - TMY3'!$Q$37)</c:f>
              <c:numCache>
                <c:formatCode>"$"#,##0</c:formatCode>
                <c:ptCount val="7"/>
                <c:pt idx="0">
                  <c:v>93594.904817569535</c:v>
                </c:pt>
                <c:pt idx="1">
                  <c:v>1603.4046102489019</c:v>
                </c:pt>
                <c:pt idx="2">
                  <c:v>10408.098875549047</c:v>
                </c:pt>
                <c:pt idx="3">
                  <c:v>4780.9450535871156</c:v>
                </c:pt>
                <c:pt idx="4">
                  <c:v>9349.1918869692545</c:v>
                </c:pt>
                <c:pt idx="5">
                  <c:v>3799.23971420205</c:v>
                </c:pt>
                <c:pt idx="6">
                  <c:v>0</c:v>
                </c:pt>
              </c:numCache>
            </c:numRef>
          </c:val>
          <c:extLst>
            <c:ext xmlns:c16="http://schemas.microsoft.com/office/drawing/2014/chart" uri="{C3380CC4-5D6E-409C-BE32-E72D297353CC}">
              <c16:uniqueId val="{00000002-8359-4881-8647-EB0E7A23F6EF}"/>
            </c:ext>
          </c:extLst>
        </c:ser>
        <c:ser>
          <c:idx val="3"/>
          <c:order val="3"/>
          <c:tx>
            <c:strRef>
              <c:f>'Neighborhood - TMY3'!$B$38</c:f>
              <c:strCache>
                <c:ptCount val="1"/>
                <c:pt idx="0">
                  <c:v>Pumps</c:v>
                </c:pt>
              </c:strCache>
            </c:strRef>
          </c:tx>
          <c:spPr>
            <a:solidFill>
              <a:schemeClr val="accent4"/>
            </a:solidFill>
            <a:ln>
              <a:noFill/>
            </a:ln>
            <a:effectLst/>
          </c:spPr>
          <c:invertIfNegative val="0"/>
          <c:cat>
            <c:strRef>
              <c:extLst>
                <c:ext xmlns:c15="http://schemas.microsoft.com/office/drawing/2012/chart" uri="{02D57815-91ED-43cb-92C2-25804820EDAC}">
                  <c15:fullRef>
                    <c15:sqref>'Neighborhood - TMY3'!$C$23:$R$23</c15:sqref>
                  </c15:fullRef>
                </c:ext>
              </c:extLst>
              <c:f>('Neighborhood - TMY3'!$C$23,'Neighborhood - TMY3'!$G$23,'Neighborhood - TMY3'!$I$23,'Neighborhood - TMY3'!$K$23,'Neighborhood - TMY3'!$M$23,'Neighborhood - TMY3'!$O$23,'Neighborhood - TMY3'!$Q$23)</c:f>
              <c:strCache>
                <c:ptCount val="7"/>
                <c:pt idx="0">
                  <c:v>262 Homes - Existing</c:v>
                </c:pt>
                <c:pt idx="1">
                  <c:v>Community Center - Existing</c:v>
                </c:pt>
                <c:pt idx="2">
                  <c:v>Bryant Elementary - Existing</c:v>
                </c:pt>
                <c:pt idx="3">
                  <c:v>County Health - Existing</c:v>
                </c:pt>
                <c:pt idx="4">
                  <c:v>Wheeler Center - Existing</c:v>
                </c:pt>
                <c:pt idx="5">
                  <c:v>Wheeler Maintenance (S) - Existing</c:v>
                </c:pt>
                <c:pt idx="6">
                  <c:v>Wheeler Vehicle Storage (E) - Existing</c:v>
                </c:pt>
              </c:strCache>
            </c:strRef>
          </c:cat>
          <c:val>
            <c:numRef>
              <c:extLst>
                <c:ext xmlns:c15="http://schemas.microsoft.com/office/drawing/2012/chart" uri="{02D57815-91ED-43cb-92C2-25804820EDAC}">
                  <c15:fullRef>
                    <c15:sqref>'Neighborhood - TMY3'!$C$38:$R$38</c15:sqref>
                  </c15:fullRef>
                </c:ext>
              </c:extLst>
              <c:f>('Neighborhood - TMY3'!$C$38,'Neighborhood - TMY3'!$G$38,'Neighborhood - TMY3'!$I$38,'Neighborhood - TMY3'!$K$38,'Neighborhood - TMY3'!$M$38,'Neighborhood - TMY3'!$O$38,'Neighborhood - TMY3'!$Q$38)</c:f>
              <c:numCache>
                <c:formatCode>"$"#,##0</c:formatCode>
                <c:ptCount val="7"/>
                <c:pt idx="0">
                  <c:v>13.09352503660322</c:v>
                </c:pt>
                <c:pt idx="1">
                  <c:v>5.6918301610541726E-2</c:v>
                </c:pt>
                <c:pt idx="2">
                  <c:v>1.1204878477306004</c:v>
                </c:pt>
                <c:pt idx="3">
                  <c:v>0.8483016105417277</c:v>
                </c:pt>
                <c:pt idx="4">
                  <c:v>10.567831332357247</c:v>
                </c:pt>
                <c:pt idx="5">
                  <c:v>7.3731092240117135</c:v>
                </c:pt>
                <c:pt idx="6">
                  <c:v>1.4765920937042458</c:v>
                </c:pt>
              </c:numCache>
            </c:numRef>
          </c:val>
          <c:extLst>
            <c:ext xmlns:c16="http://schemas.microsoft.com/office/drawing/2014/chart" uri="{C3380CC4-5D6E-409C-BE32-E72D297353CC}">
              <c16:uniqueId val="{00000003-8359-4881-8647-EB0E7A23F6EF}"/>
            </c:ext>
          </c:extLst>
        </c:ser>
        <c:ser>
          <c:idx val="4"/>
          <c:order val="4"/>
          <c:tx>
            <c:strRef>
              <c:f>'Neighborhood - TMY3'!$B$39</c:f>
              <c:strCache>
                <c:ptCount val="1"/>
                <c:pt idx="0">
                  <c:v>Fans</c:v>
                </c:pt>
              </c:strCache>
            </c:strRef>
          </c:tx>
          <c:spPr>
            <a:solidFill>
              <a:schemeClr val="accent5"/>
            </a:solidFill>
            <a:ln>
              <a:noFill/>
            </a:ln>
            <a:effectLst/>
          </c:spPr>
          <c:invertIfNegative val="0"/>
          <c:cat>
            <c:strRef>
              <c:extLst>
                <c:ext xmlns:c15="http://schemas.microsoft.com/office/drawing/2012/chart" uri="{02D57815-91ED-43cb-92C2-25804820EDAC}">
                  <c15:fullRef>
                    <c15:sqref>'Neighborhood - TMY3'!$C$23:$R$23</c15:sqref>
                  </c15:fullRef>
                </c:ext>
              </c:extLst>
              <c:f>('Neighborhood - TMY3'!$C$23,'Neighborhood - TMY3'!$G$23,'Neighborhood - TMY3'!$I$23,'Neighborhood - TMY3'!$K$23,'Neighborhood - TMY3'!$M$23,'Neighborhood - TMY3'!$O$23,'Neighborhood - TMY3'!$Q$23)</c:f>
              <c:strCache>
                <c:ptCount val="7"/>
                <c:pt idx="0">
                  <c:v>262 Homes - Existing</c:v>
                </c:pt>
                <c:pt idx="1">
                  <c:v>Community Center - Existing</c:v>
                </c:pt>
                <c:pt idx="2">
                  <c:v>Bryant Elementary - Existing</c:v>
                </c:pt>
                <c:pt idx="3">
                  <c:v>County Health - Existing</c:v>
                </c:pt>
                <c:pt idx="4">
                  <c:v>Wheeler Center - Existing</c:v>
                </c:pt>
                <c:pt idx="5">
                  <c:v>Wheeler Maintenance (S) - Existing</c:v>
                </c:pt>
                <c:pt idx="6">
                  <c:v>Wheeler Vehicle Storage (E) - Existing</c:v>
                </c:pt>
              </c:strCache>
            </c:strRef>
          </c:cat>
          <c:val>
            <c:numRef>
              <c:extLst>
                <c:ext xmlns:c15="http://schemas.microsoft.com/office/drawing/2012/chart" uri="{02D57815-91ED-43cb-92C2-25804820EDAC}">
                  <c15:fullRef>
                    <c15:sqref>'Neighborhood - TMY3'!$C$39:$R$39</c15:sqref>
                  </c15:fullRef>
                </c:ext>
              </c:extLst>
              <c:f>('Neighborhood - TMY3'!$C$39,'Neighborhood - TMY3'!$G$39,'Neighborhood - TMY3'!$I$39,'Neighborhood - TMY3'!$K$39,'Neighborhood - TMY3'!$M$39,'Neighborhood - TMY3'!$O$39,'Neighborhood - TMY3'!$Q$39)</c:f>
              <c:numCache>
                <c:formatCode>"$"#,##0</c:formatCode>
                <c:ptCount val="7"/>
                <c:pt idx="0">
                  <c:v>101787.22730893116</c:v>
                </c:pt>
                <c:pt idx="1">
                  <c:v>1362.780665885798</c:v>
                </c:pt>
                <c:pt idx="2">
                  <c:v>6708.4428380673498</c:v>
                </c:pt>
                <c:pt idx="3">
                  <c:v>3314.7912655929722</c:v>
                </c:pt>
                <c:pt idx="4">
                  <c:v>12658.874005270864</c:v>
                </c:pt>
                <c:pt idx="5">
                  <c:v>28332.893607027818</c:v>
                </c:pt>
                <c:pt idx="6">
                  <c:v>42120.490370717424</c:v>
                </c:pt>
              </c:numCache>
            </c:numRef>
          </c:val>
          <c:extLst>
            <c:ext xmlns:c16="http://schemas.microsoft.com/office/drawing/2014/chart" uri="{C3380CC4-5D6E-409C-BE32-E72D297353CC}">
              <c16:uniqueId val="{00000004-8359-4881-8647-EB0E7A23F6EF}"/>
            </c:ext>
          </c:extLst>
        </c:ser>
        <c:ser>
          <c:idx val="5"/>
          <c:order val="5"/>
          <c:tx>
            <c:strRef>
              <c:f>'Neighborhood - TMY3'!$B$40</c:f>
              <c:strCache>
                <c:ptCount val="1"/>
                <c:pt idx="0">
                  <c:v>Receptacles</c:v>
                </c:pt>
              </c:strCache>
            </c:strRef>
          </c:tx>
          <c:spPr>
            <a:solidFill>
              <a:schemeClr val="accent6"/>
            </a:solidFill>
            <a:ln>
              <a:noFill/>
            </a:ln>
            <a:effectLst/>
          </c:spPr>
          <c:invertIfNegative val="0"/>
          <c:cat>
            <c:strRef>
              <c:extLst>
                <c:ext xmlns:c15="http://schemas.microsoft.com/office/drawing/2012/chart" uri="{02D57815-91ED-43cb-92C2-25804820EDAC}">
                  <c15:fullRef>
                    <c15:sqref>'Neighborhood - TMY3'!$C$23:$R$23</c15:sqref>
                  </c15:fullRef>
                </c:ext>
              </c:extLst>
              <c:f>('Neighborhood - TMY3'!$C$23,'Neighborhood - TMY3'!$G$23,'Neighborhood - TMY3'!$I$23,'Neighborhood - TMY3'!$K$23,'Neighborhood - TMY3'!$M$23,'Neighborhood - TMY3'!$O$23,'Neighborhood - TMY3'!$Q$23)</c:f>
              <c:strCache>
                <c:ptCount val="7"/>
                <c:pt idx="0">
                  <c:v>262 Homes - Existing</c:v>
                </c:pt>
                <c:pt idx="1">
                  <c:v>Community Center - Existing</c:v>
                </c:pt>
                <c:pt idx="2">
                  <c:v>Bryant Elementary - Existing</c:v>
                </c:pt>
                <c:pt idx="3">
                  <c:v>County Health - Existing</c:v>
                </c:pt>
                <c:pt idx="4">
                  <c:v>Wheeler Center - Existing</c:v>
                </c:pt>
                <c:pt idx="5">
                  <c:v>Wheeler Maintenance (S) - Existing</c:v>
                </c:pt>
                <c:pt idx="6">
                  <c:v>Wheeler Vehicle Storage (E) - Existing</c:v>
                </c:pt>
              </c:strCache>
            </c:strRef>
          </c:cat>
          <c:val>
            <c:numRef>
              <c:extLst>
                <c:ext xmlns:c15="http://schemas.microsoft.com/office/drawing/2012/chart" uri="{02D57815-91ED-43cb-92C2-25804820EDAC}">
                  <c15:fullRef>
                    <c15:sqref>'Neighborhood - TMY3'!$C$40:$R$40</c15:sqref>
                  </c15:fullRef>
                </c:ext>
              </c:extLst>
              <c:f>('Neighborhood - TMY3'!$C$40,'Neighborhood - TMY3'!$G$40,'Neighborhood - TMY3'!$I$40,'Neighborhood - TMY3'!$K$40,'Neighborhood - TMY3'!$M$40,'Neighborhood - TMY3'!$O$40,'Neighborhood - TMY3'!$Q$40)</c:f>
              <c:numCache>
                <c:formatCode>"$"#,##0</c:formatCode>
                <c:ptCount val="7"/>
                <c:pt idx="0">
                  <c:v>103408.97596338436</c:v>
                </c:pt>
                <c:pt idx="1">
                  <c:v>1488.3344122986823</c:v>
                </c:pt>
                <c:pt idx="2">
                  <c:v>11983.033754026355</c:v>
                </c:pt>
                <c:pt idx="3">
                  <c:v>11627.656310980967</c:v>
                </c:pt>
                <c:pt idx="4">
                  <c:v>17007.033820204979</c:v>
                </c:pt>
                <c:pt idx="5">
                  <c:v>17748.643898682283</c:v>
                </c:pt>
                <c:pt idx="6">
                  <c:v>28122.851209370427</c:v>
                </c:pt>
              </c:numCache>
            </c:numRef>
          </c:val>
          <c:extLst>
            <c:ext xmlns:c16="http://schemas.microsoft.com/office/drawing/2014/chart" uri="{C3380CC4-5D6E-409C-BE32-E72D297353CC}">
              <c16:uniqueId val="{00000005-8359-4881-8647-EB0E7A23F6EF}"/>
            </c:ext>
          </c:extLst>
        </c:ser>
        <c:ser>
          <c:idx val="6"/>
          <c:order val="6"/>
          <c:tx>
            <c:strRef>
              <c:f>'Neighborhood - TMY3'!$B$41</c:f>
              <c:strCache>
                <c:ptCount val="1"/>
                <c:pt idx="0">
                  <c:v>DHW</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'Neighborhood - TMY3'!$C$23:$R$23</c15:sqref>
                  </c15:fullRef>
                </c:ext>
              </c:extLst>
              <c:f>('Neighborhood - TMY3'!$C$23,'Neighborhood - TMY3'!$G$23,'Neighborhood - TMY3'!$I$23,'Neighborhood - TMY3'!$K$23,'Neighborhood - TMY3'!$M$23,'Neighborhood - TMY3'!$O$23,'Neighborhood - TMY3'!$Q$23)</c:f>
              <c:strCache>
                <c:ptCount val="7"/>
                <c:pt idx="0">
                  <c:v>262 Homes - Existing</c:v>
                </c:pt>
                <c:pt idx="1">
                  <c:v>Community Center - Existing</c:v>
                </c:pt>
                <c:pt idx="2">
                  <c:v>Bryant Elementary - Existing</c:v>
                </c:pt>
                <c:pt idx="3">
                  <c:v>County Health - Existing</c:v>
                </c:pt>
                <c:pt idx="4">
                  <c:v>Wheeler Center - Existing</c:v>
                </c:pt>
                <c:pt idx="5">
                  <c:v>Wheeler Maintenance (S) - Existing</c:v>
                </c:pt>
                <c:pt idx="6">
                  <c:v>Wheeler Vehicle Storage (E) - Existing</c:v>
                </c:pt>
              </c:strCache>
            </c:strRef>
          </c:cat>
          <c:val>
            <c:numRef>
              <c:extLst>
                <c:ext xmlns:c15="http://schemas.microsoft.com/office/drawing/2012/chart" uri="{02D57815-91ED-43cb-92C2-25804820EDAC}">
                  <c15:fullRef>
                    <c15:sqref>'Neighborhood - TMY3'!$C$41:$R$41</c15:sqref>
                  </c15:fullRef>
                </c:ext>
              </c:extLst>
              <c:f>('Neighborhood - TMY3'!$C$41,'Neighborhood - TMY3'!$G$41,'Neighborhood - TMY3'!$I$41,'Neighborhood - TMY3'!$K$41,'Neighborhood - TMY3'!$M$41,'Neighborhood - TMY3'!$O$41,'Neighborhood - TMY3'!$Q$41)</c:f>
              <c:numCache>
                <c:formatCode>"$"#,##0</c:formatCode>
                <c:ptCount val="7"/>
                <c:pt idx="0">
                  <c:v>15273.301435452793</c:v>
                </c:pt>
                <c:pt idx="1">
                  <c:v>125.7566025145068</c:v>
                </c:pt>
                <c:pt idx="2">
                  <c:v>2098.2394859767896</c:v>
                </c:pt>
                <c:pt idx="3">
                  <c:v>1578.6410730174084</c:v>
                </c:pt>
                <c:pt idx="4">
                  <c:v>1981.2924763056096</c:v>
                </c:pt>
                <c:pt idx="5">
                  <c:v>2072.4968094777564</c:v>
                </c:pt>
                <c:pt idx="6">
                  <c:v>3262.4780425531917</c:v>
                </c:pt>
              </c:numCache>
            </c:numRef>
          </c:val>
          <c:extLst>
            <c:ext xmlns:c16="http://schemas.microsoft.com/office/drawing/2014/chart" uri="{C3380CC4-5D6E-409C-BE32-E72D297353CC}">
              <c16:uniqueId val="{00000006-8359-4881-8647-EB0E7A23F6EF}"/>
            </c:ext>
          </c:extLst>
        </c:ser>
        <c:dLbls>
          <c:showLegendKey val="0"/>
          <c:showVal val="0"/>
          <c:showCatName val="0"/>
          <c:showSerName val="0"/>
          <c:showPercent val="0"/>
          <c:showBubbleSize val="0"/>
        </c:dLbls>
        <c:gapWidth val="150"/>
        <c:overlap val="100"/>
        <c:axId val="1219553984"/>
        <c:axId val="1219555952"/>
        <c:extLst>
          <c:ext xmlns:c15="http://schemas.microsoft.com/office/drawing/2012/chart" uri="{02D57815-91ED-43cb-92C2-25804820EDAC}">
            <c15:filteredBarSeries>
              <c15:ser>
                <c:idx val="7"/>
                <c:order val="7"/>
                <c:tx>
                  <c:strRef>
                    <c:extLst>
                      <c:ext uri="{02D57815-91ED-43cb-92C2-25804820EDAC}">
                        <c15:formulaRef>
                          <c15:sqref>'Neighborhood - TMY3'!$B$42</c15:sqref>
                        </c15:formulaRef>
                      </c:ext>
                    </c:extLst>
                    <c:strCache>
                      <c:ptCount val="1"/>
                      <c:pt idx="0">
                        <c:v>Cost</c:v>
                      </c:pt>
                    </c:strCache>
                  </c:strRef>
                </c:tx>
                <c:spPr>
                  <a:solidFill>
                    <a:schemeClr val="accent2">
                      <a:lumMod val="60000"/>
                    </a:schemeClr>
                  </a:solidFill>
                  <a:ln>
                    <a:noFill/>
                  </a:ln>
                  <a:effectLst/>
                </c:spPr>
                <c:invertIfNegative val="0"/>
                <c:cat>
                  <c:strRef>
                    <c:extLst>
                      <c:ext uri="{02D57815-91ED-43cb-92C2-25804820EDAC}">
                        <c15:fullRef>
                          <c15:sqref>'Neighborhood - TMY3'!$C$23:$R$23</c15:sqref>
                        </c15:fullRef>
                        <c15:formulaRef>
                          <c15:sqref>('Neighborhood - TMY3'!$C$23,'Neighborhood - TMY3'!$G$23,'Neighborhood - TMY3'!$I$23,'Neighborhood - TMY3'!$K$23,'Neighborhood - TMY3'!$M$23,'Neighborhood - TMY3'!$O$23,'Neighborhood - TMY3'!$Q$23)</c15:sqref>
                        </c15:formulaRef>
                      </c:ext>
                    </c:extLst>
                    <c:strCache>
                      <c:ptCount val="7"/>
                      <c:pt idx="0">
                        <c:v>262 Homes - Existing</c:v>
                      </c:pt>
                      <c:pt idx="1">
                        <c:v>Community Center - Existing</c:v>
                      </c:pt>
                      <c:pt idx="2">
                        <c:v>Bryant Elementary - Existing</c:v>
                      </c:pt>
                      <c:pt idx="3">
                        <c:v>County Health - Existing</c:v>
                      </c:pt>
                      <c:pt idx="4">
                        <c:v>Wheeler Center - Existing</c:v>
                      </c:pt>
                      <c:pt idx="5">
                        <c:v>Wheeler Maintenance (S) - Existing</c:v>
                      </c:pt>
                      <c:pt idx="6">
                        <c:v>Wheeler Vehicle Storage (E) - Existing</c:v>
                      </c:pt>
                    </c:strCache>
                  </c:strRef>
                </c:cat>
                <c:val>
                  <c:numRef>
                    <c:extLst>
                      <c:ext uri="{02D57815-91ED-43cb-92C2-25804820EDAC}">
                        <c15:fullRef>
                          <c15:sqref>'Neighborhood - TMY3'!$C$42:$R$42</c15:sqref>
                        </c15:fullRef>
                        <c15:formulaRef>
                          <c15:sqref>('Neighborhood - TMY3'!$C$42,'Neighborhood - TMY3'!$G$42,'Neighborhood - TMY3'!$I$42,'Neighborhood - TMY3'!$K$42,'Neighborhood - TMY3'!$M$42,'Neighborhood - TMY3'!$O$42,'Neighborhood - TMY3'!$Q$42)</c15:sqref>
                        </c15:formulaRef>
                      </c:ext>
                    </c:extLst>
                    <c:numCache>
                      <c:formatCode>"$"#,##0</c:formatCode>
                      <c:ptCount val="7"/>
                      <c:pt idx="0">
                        <c:v>477465.06980299368</c:v>
                      </c:pt>
                      <c:pt idx="1">
                        <c:v>9001.4196047193382</c:v>
                      </c:pt>
                      <c:pt idx="2">
                        <c:v>65374.02983602621</c:v>
                      </c:pt>
                      <c:pt idx="3">
                        <c:v>39189.921385380658</c:v>
                      </c:pt>
                      <c:pt idx="4">
                        <c:v>63421.240383887227</c:v>
                      </c:pt>
                      <c:pt idx="5">
                        <c:v>73280.091310861171</c:v>
                      </c:pt>
                      <c:pt idx="6">
                        <c:v>111466.26318682</c:v>
                      </c:pt>
                    </c:numCache>
                  </c:numRef>
                </c:val>
                <c:extLst>
                  <c:ext xmlns:c16="http://schemas.microsoft.com/office/drawing/2014/chart" uri="{C3380CC4-5D6E-409C-BE32-E72D297353CC}">
                    <c16:uniqueId val="{00000007-8359-4881-8647-EB0E7A23F6EF}"/>
                  </c:ext>
                </c:extLst>
              </c15:ser>
            </c15:filteredBarSeries>
          </c:ext>
        </c:extLst>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Energy Cost ($/yr)</a:t>
                </a:r>
              </a:p>
            </c:rich>
          </c:tx>
          <c:layout>
            <c:manualLayout>
              <c:xMode val="edge"/>
              <c:yMode val="edge"/>
              <c:x val="1.8132752864963839E-2"/>
              <c:y val="0.172719967216648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Carbon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'Neighborhood - TMY3'!$B$46</c:f>
              <c:strCache>
                <c:ptCount val="1"/>
                <c:pt idx="0">
                  <c:v>Carbon</c:v>
                </c:pt>
              </c:strCache>
            </c:strRef>
          </c:tx>
          <c:spPr>
            <a:solidFill>
              <a:schemeClr val="accent1"/>
            </a:solidFill>
            <a:ln>
              <a:noFill/>
            </a:ln>
            <a:effectLst/>
          </c:spPr>
          <c:invertIfNegative val="0"/>
          <c:cat>
            <c:strRef>
              <c:extLst>
                <c:ext xmlns:c15="http://schemas.microsoft.com/office/drawing/2012/chart" uri="{02D57815-91ED-43cb-92C2-25804820EDAC}">
                  <c15:fullRef>
                    <c15:sqref>'Neighborhood - TMY3'!$C$23:$R$23</c15:sqref>
                  </c15:fullRef>
                </c:ext>
              </c:extLst>
              <c:f>('Neighborhood - TMY3'!$C$23,'Neighborhood - TMY3'!$G$23,'Neighborhood - TMY3'!$I$23,'Neighborhood - TMY3'!$K$23,'Neighborhood - TMY3'!$M$23,'Neighborhood - TMY3'!$O$23,'Neighborhood - TMY3'!$Q$23)</c:f>
              <c:strCache>
                <c:ptCount val="7"/>
                <c:pt idx="0">
                  <c:v>262 Homes - Existing</c:v>
                </c:pt>
                <c:pt idx="1">
                  <c:v>Community Center - Existing</c:v>
                </c:pt>
                <c:pt idx="2">
                  <c:v>Bryant Elementary - Existing</c:v>
                </c:pt>
                <c:pt idx="3">
                  <c:v>County Health - Existing</c:v>
                </c:pt>
                <c:pt idx="4">
                  <c:v>Wheeler Center - Existing</c:v>
                </c:pt>
                <c:pt idx="5">
                  <c:v>Wheeler Maintenance (S) - Existing</c:v>
                </c:pt>
                <c:pt idx="6">
                  <c:v>Wheeler Vehicle Storage (E) - Existing</c:v>
                </c:pt>
              </c:strCache>
            </c:strRef>
          </c:cat>
          <c:val>
            <c:numRef>
              <c:extLst>
                <c:ext xmlns:c15="http://schemas.microsoft.com/office/drawing/2012/chart" uri="{02D57815-91ED-43cb-92C2-25804820EDAC}">
                  <c15:fullRef>
                    <c15:sqref>'Neighborhood - TMY3'!$C$46:$R$46</c15:sqref>
                  </c15:fullRef>
                </c:ext>
              </c:extLst>
              <c:f>('Neighborhood - TMY3'!$C$46,'Neighborhood - TMY3'!$G$46,'Neighborhood - TMY3'!$I$46,'Neighborhood - TMY3'!$K$46,'Neighborhood - TMY3'!$M$46,'Neighborhood - TMY3'!$O$46,'Neighborhood - TMY3'!$Q$46)</c:f>
              <c:numCache>
                <c:formatCode>#,##0</c:formatCode>
                <c:ptCount val="7"/>
                <c:pt idx="0">
                  <c:v>2083.251701551852</c:v>
                </c:pt>
                <c:pt idx="1">
                  <c:v>47.833682837939136</c:v>
                </c:pt>
                <c:pt idx="2">
                  <c:v>346.4071733234295</c:v>
                </c:pt>
                <c:pt idx="3">
                  <c:v>207.62058868092058</c:v>
                </c:pt>
                <c:pt idx="4">
                  <c:v>335.54251491514231</c:v>
                </c:pt>
                <c:pt idx="5">
                  <c:v>386.88251519724548</c:v>
                </c:pt>
                <c:pt idx="6">
                  <c:v>589.57546183426678</c:v>
                </c:pt>
              </c:numCache>
            </c:numRef>
          </c:val>
          <c:extLst>
            <c:ext xmlns:c15="http://schemas.microsoft.com/office/drawing/2012/chart" uri="{02D57815-91ED-43cb-92C2-25804820EDAC}">
              <c15:categoryFilterExceptions>
                <c15:categoryFilterException>
                  <c15:sqref>'Neighborhood - TMY3'!$D$46</c15:sqref>
                  <c15:spPr xmlns:c15="http://schemas.microsoft.com/office/drawing/2012/chart">
                    <a:solidFill>
                      <a:schemeClr val="accent2"/>
                    </a:solidFill>
                    <a:ln>
                      <a:noFill/>
                    </a:ln>
                    <a:effectLst/>
                  </c15:spPr>
                  <c15:invertIfNegative val="0"/>
                  <c15:bubble3D val="0"/>
                </c15:categoryFilterException>
                <c15:categoryFilterException>
                  <c15:sqref>'Neighborhood - TMY3'!$H$46</c15:sqref>
                  <c15:spPr xmlns:c15="http://schemas.microsoft.com/office/drawing/2012/chart">
                    <a:solidFill>
                      <a:schemeClr val="accent2"/>
                    </a:solidFill>
                    <a:ln>
                      <a:noFill/>
                    </a:ln>
                    <a:effectLst/>
                  </c15:spPr>
                  <c15:invertIfNegative val="0"/>
                  <c15:bubble3D val="0"/>
                </c15:categoryFilterException>
                <c15:categoryFilterException>
                  <c15:sqref>'Neighborhood - TMY3'!$J$46</c15:sqref>
                  <c15:spPr xmlns:c15="http://schemas.microsoft.com/office/drawing/2012/chart">
                    <a:solidFill>
                      <a:schemeClr val="accent2"/>
                    </a:solidFill>
                    <a:ln>
                      <a:noFill/>
                    </a:ln>
                    <a:effectLst/>
                  </c15:spPr>
                  <c15:invertIfNegative val="0"/>
                  <c15:bubble3D val="0"/>
                </c15:categoryFilterException>
                <c15:categoryFilterException>
                  <c15:sqref>'Neighborhood - TMY3'!$L$46</c15:sqref>
                  <c15:spPr xmlns:c15="http://schemas.microsoft.com/office/drawing/2012/chart">
                    <a:solidFill>
                      <a:schemeClr val="accent2"/>
                    </a:solidFill>
                    <a:ln>
                      <a:noFill/>
                    </a:ln>
                    <a:effectLst/>
                  </c15:spPr>
                  <c15:invertIfNegative val="0"/>
                  <c15:bubble3D val="0"/>
                </c15:categoryFilterException>
                <c15:categoryFilterException>
                  <c15:sqref>'Neighborhood - TMY3'!$N$46</c15:sqref>
                  <c15:spPr xmlns:c15="http://schemas.microsoft.com/office/drawing/2012/chart">
                    <a:solidFill>
                      <a:schemeClr val="accent2"/>
                    </a:solidFill>
                    <a:ln>
                      <a:noFill/>
                    </a:ln>
                    <a:effectLst/>
                  </c15:spPr>
                  <c15:invertIfNegative val="0"/>
                  <c15:bubble3D val="0"/>
                </c15:categoryFilterException>
                <c15:categoryFilterException>
                  <c15:sqref>'Neighborhood - TMY3'!$P$46</c15:sqref>
                  <c15:spPr xmlns:c15="http://schemas.microsoft.com/office/drawing/2012/chart">
                    <a:solidFill>
                      <a:schemeClr val="accent2"/>
                    </a:solidFill>
                    <a:ln>
                      <a:noFill/>
                    </a:ln>
                    <a:effectLst/>
                  </c15:spPr>
                  <c15:invertIfNegative val="0"/>
                  <c15:bubble3D val="0"/>
                </c15:categoryFilterException>
                <c15:categoryFilterException>
                  <c15:sqref>'Neighborhood - TMY3'!$R$46</c15:sqref>
                  <c15:spPr xmlns:c15="http://schemas.microsoft.com/office/drawing/2012/chart">
                    <a:solidFill>
                      <a:schemeClr val="accent2"/>
                    </a:solidFill>
                    <a:ln>
                      <a:noFill/>
                    </a:ln>
                    <a:effectLst/>
                  </c15:spPr>
                  <c15:invertIfNegative val="0"/>
                  <c15:bubble3D val="0"/>
                </c15:categoryFilterException>
              </c15:categoryFilterExceptions>
            </c:ext>
            <c:ext xmlns:c16="http://schemas.microsoft.com/office/drawing/2014/chart" uri="{C3380CC4-5D6E-409C-BE32-E72D297353CC}">
              <c16:uniqueId val="{00000000-79B0-4AFB-9ECE-CCAA7C8C7FA3}"/>
            </c:ext>
          </c:extLst>
        </c:ser>
        <c:dLbls>
          <c:showLegendKey val="0"/>
          <c:showVal val="0"/>
          <c:showCatName val="0"/>
          <c:showSerName val="0"/>
          <c:showPercent val="0"/>
          <c:showBubbleSize val="0"/>
        </c:dLbls>
        <c:gapWidth val="150"/>
        <c:overlap val="100"/>
        <c:axId val="1219553984"/>
        <c:axId val="1219555952"/>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(tons)</a:t>
                </a:r>
              </a:p>
            </c:rich>
          </c:tx>
          <c:layout>
            <c:manualLayout>
              <c:xMode val="edge"/>
              <c:yMode val="edge"/>
              <c:x val="2.3276366166445513E-2"/>
              <c:y val="0.3972009592153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Cost - Homes Only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spPr>
            <a:solidFill>
              <a:schemeClr val="accent2"/>
            </a:solidFill>
            <a:ln>
              <a:solidFill>
                <a:schemeClr val="tx1"/>
              </a:solidFill>
            </a:ln>
            <a:effectLst/>
          </c:spPr>
          <c:invertIfNegative val="0"/>
          <c:cat>
            <c:strRef>
              <c:f>'Neighborhood - TMY3'!$C$23:$F$23</c:f>
              <c:strCache>
                <c:ptCount val="4"/>
                <c:pt idx="0">
                  <c:v>262 Homes - Existing</c:v>
                </c:pt>
                <c:pt idx="1">
                  <c:v>262 Homes - Geo</c:v>
                </c:pt>
                <c:pt idx="2">
                  <c:v>262 Homes - Geo + Wx</c:v>
                </c:pt>
                <c:pt idx="3">
                  <c:v>262 Homes - Geo + PV + Wx</c:v>
                </c:pt>
              </c:strCache>
            </c:strRef>
          </c:cat>
          <c:val>
            <c:numRef>
              <c:f>'Neighborhood - TMY3'!$C$42:$F$42</c:f>
              <c:numCache>
                <c:formatCode>"$"#,##0</c:formatCode>
                <c:ptCount val="4"/>
                <c:pt idx="0">
                  <c:v>477465.06980299368</c:v>
                </c:pt>
                <c:pt idx="1">
                  <c:v>465189.19457547873</c:v>
                </c:pt>
                <c:pt idx="2">
                  <c:v>421020.15049393731</c:v>
                </c:pt>
                <c:pt idx="3">
                  <c:v>110920.34207500584</c:v>
                </c:pt>
              </c:numCache>
            </c:numRef>
          </c:val>
          <c:extLst>
            <c:ext xmlns:c16="http://schemas.microsoft.com/office/drawing/2014/chart" uri="{C3380CC4-5D6E-409C-BE32-E72D297353CC}">
              <c16:uniqueId val="{00000000-37BC-4536-9444-14B4B116C2A5}"/>
            </c:ext>
          </c:extLst>
        </c:ser>
        <c:ser>
          <c:idx val="1"/>
          <c:order val="1"/>
          <c:spPr>
            <a:pattFill prst="ltUpDiag">
              <a:fgClr>
                <a:srgbClr val="00B050"/>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E942-4986-9297-B9410FB8EF50}"/>
                </c:ext>
              </c:extLst>
            </c:dLbl>
            <c:dLbl>
              <c:idx val="1"/>
              <c:layout>
                <c:manualLayout>
                  <c:x val="-4.4623686434492336E-17"/>
                  <c:y val="-7.0696319783390957E-2"/>
                </c:manualLayout>
              </c:layout>
              <c:tx>
                <c:rich>
                  <a:bodyPr/>
                  <a:lstStyle/>
                  <a:p>
                    <a:r>
                      <a:rPr lang="en-US"/>
                      <a:t>Savings = </a:t>
                    </a:r>
                  </a:p>
                  <a:p>
                    <a:fld id="{8B11E5DF-3170-40DC-A9E1-C57416E4DF71}"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{8B11E5DF-3170-40DC-A9E1-C57416E4DF71}</c15:txfldGUID>
                      <c15:f>'Neighborhood - TMY3'!$D$44</c15:f>
                      <c15:dlblFieldTableCache>
                        <c:ptCount val="1"/>
                        <c:pt idx="0">
                          <c:v>2.6%</c:v>
                        </c:pt>
                      </c15:dlblFieldTableCache>
                    </c15:dlblFTEntry>
                  </c15:dlblFieldTable>
                  <c15:showDataLabelsRange val="0"/>
                </c:ext>
                <c:ext xmlns:c16="http://schemas.microsoft.com/office/drawing/2014/chart" uri="{C3380CC4-5D6E-409C-BE32-E72D297353CC}">
                  <c16:uniqueId val="{0000000C-E942-4986-9297-B9410FB8EF50}"/>
                </c:ext>
              </c:extLst>
            </c:dLbl>
            <c:dLbl>
              <c:idx val="2"/>
              <c:layout>
                <c:manualLayout>
                  <c:x val="0"/>
                  <c:y val="-8.9548671725628512E-2"/>
                </c:manualLayout>
              </c:layout>
              <c:tx>
                <c:rich>
                  <a:bodyPr/>
                  <a:lstStyle/>
                  <a:p>
                    <a:r>
                      <a:rPr lang="en-US"/>
                      <a:t>Savings</a:t>
                    </a:r>
                    <a:r>
                      <a:rPr lang="en-US" baseline="0"/>
                      <a:t> = </a:t>
                    </a:r>
                  </a:p>
                  <a:p>
                    <a:fld id="{EEBE0564-0F2C-4B1A-983E-AA58E27EA8D5}"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{EEBE0564-0F2C-4B1A-983E-AA58E27EA8D5}</c15:txfldGUID>
                      <c15:f>'Neighborhood - TMY3'!$E$44</c15:f>
                      <c15:dlblFieldTableCache>
                        <c:ptCount val="1"/>
                        <c:pt idx="0">
                          <c:v>11.8%</c:v>
                        </c:pt>
                      </c15:dlblFieldTableCache>
                    </c15:dlblFTEntry>
                  </c15:dlblFieldTable>
                  <c15:showDataLabelsRange val="0"/>
                </c:ext>
                <c:ext xmlns:c16="http://schemas.microsoft.com/office/drawing/2014/chart" uri="{C3380CC4-5D6E-409C-BE32-E72D297353CC}">
                  <c16:uniqueId val="{0000000D-E942-4986-9297-B9410FB8EF50}"/>
                </c:ext>
              </c:extLst>
            </c:dLbl>
            <c:dLbl>
              <c:idx val="3"/>
              <c:layout>
                <c:manualLayout>
                  <c:x val="2.4340473780614137E-3"/>
                  <c:y val="-0.26864601517688558"/>
                </c:manualLayout>
              </c:layout>
              <c:tx>
                <c:rich>
                  <a:bodyPr/>
                  <a:lstStyle/>
                  <a:p>
                    <a:r>
                      <a:rPr lang="en-US"/>
                      <a:t>Savings = </a:t>
                    </a:r>
                  </a:p>
                  <a:p>
                    <a:fld id="{CA343B3F-6D51-4FD0-976F-11F575F86EF9}"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{CA343B3F-6D51-4FD0-976F-11F575F86EF9}</c15:txfldGUID>
                      <c15:f>'Neighborhood - TMY3'!$F$44</c15:f>
                      <c15:dlblFieldTableCache>
                        <c:ptCount val="1"/>
                        <c:pt idx="0">
                          <c:v>76.8%</c:v>
                        </c:pt>
                      </c15:dlblFieldTableCache>
                    </c15:dlblFTEntry>
                  </c15:dlblFieldTable>
                  <c15:showDataLabelsRange val="0"/>
                </c:ext>
                <c:ext xmlns:c16="http://schemas.microsoft.com/office/drawing/2014/chart" uri="{C3380CC4-5D6E-409C-BE32-E72D297353CC}">
                  <c16:uniqueId val="{0000000E-E942-4986-9297-B9410FB8EF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'Neighborhood - TMY3'!$C$23:$F$23</c:f>
              <c:strCache>
                <c:ptCount val="4"/>
                <c:pt idx="0">
                  <c:v>262 Homes - Existing</c:v>
                </c:pt>
                <c:pt idx="1">
                  <c:v>262 Homes - Geo</c:v>
                </c:pt>
                <c:pt idx="2">
                  <c:v>262 Homes - Geo + Wx</c:v>
                </c:pt>
                <c:pt idx="3">
                  <c:v>262 Homes - Geo + PV + Wx</c:v>
                </c:pt>
              </c:strCache>
            </c:strRef>
          </c:cat>
          <c:val>
            <c:numRef>
              <c:f>'Neighborhood - TMY3'!$C$43:$F$43</c:f>
              <c:numCache>
                <c:formatCode>"$"#,##0</c:formatCode>
                <c:ptCount val="4"/>
                <c:pt idx="0" formatCode="General">
                  <c:v>0</c:v>
                </c:pt>
                <c:pt idx="1">
                  <c:v>12275.875227514945</c:v>
                </c:pt>
                <c:pt idx="2">
                  <c:v>56444.919309056364</c:v>
                </c:pt>
                <c:pt idx="3">
                  <c:v>366544.7277279878</c:v>
                </c:pt>
              </c:numCache>
            </c:numRef>
          </c:val>
          <c:extLst>
            <c:ext xmlns:c16="http://schemas.microsoft.com/office/drawing/2014/chart" uri="{C3380CC4-5D6E-409C-BE32-E72D297353CC}">
              <c16:uniqueId val="{00000009-E942-4986-9297-B9410FB8EF50}"/>
            </c:ext>
          </c:extLst>
        </c:ser>
        <c:dLbls>
          <c:showLegendKey val="0"/>
          <c:showVal val="0"/>
          <c:showCatName val="0"/>
          <c:showSerName val="0"/>
          <c:showPercent val="0"/>
          <c:showBubbleSize val="0"/>
        </c:dLbls>
        <c:gapWidth val="219"/>
        <c:overlap val="100"/>
        <c:axId val="1947818607"/>
        <c:axId val="1947813327"/>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'Neighborhood - TMY3'!$C$23:$F$23</c15:sqref>
                        </c15:formulaRef>
                      </c:ext>
                    </c:extLst>
                    <c:strCache>
                      <c:ptCount val="4"/>
                      <c:pt idx="0">
                        <c:v>262 Homes - Existing</c:v>
                      </c:pt>
                      <c:pt idx="1">
                        <c:v>262 Homes - Geo</c:v>
                      </c:pt>
                      <c:pt idx="2">
                        <c:v>262 Homes - Geo + Wx</c:v>
                      </c:pt>
                      <c:pt idx="3">
                        <c:v>262 Homes - Geo + PV + Wx</c:v>
                      </c:pt>
                    </c:strCache>
                  </c:strRef>
                </c:cat>
                <c:val>
                  <c:numRef>
                    <c:extLst>
                      <c:ext uri="{02D57815-91ED-43cb-92C2-25804820EDAC}">
                        <c15:formulaRef>
                          <c15:sqref>'Neighborhood - TMY3'!$C$44:$F$44</c15:sqref>
                        </c15:formulaRef>
                      </c:ext>
                    </c:extLst>
                    <c:numCache>
                      <c:formatCode>0.0%</c:formatCode>
                      <c:ptCount val="4"/>
                      <c:pt idx="0" formatCode="General">
                        <c:v>0</c:v>
                      </c:pt>
                      <c:pt idx="1">
                        <c:v>2.5710520002185877E-2</c:v>
                      </c:pt>
                      <c:pt idx="2">
                        <c:v>0.11821790300250867</c:v>
                      </c:pt>
                      <c:pt idx="3">
                        <c:v>0.76768909583108869</c:v>
                      </c:pt>
                    </c:numCache>
                  </c:numRef>
                </c:val>
                <c:extLst>
                  <c:ext xmlns:c16="http://schemas.microsoft.com/office/drawing/2014/chart" uri="{C3380CC4-5D6E-409C-BE32-E72D297353CC}">
                    <c16:uniqueId val="{0000000A-E942-4986-9297-B9410FB8EF50}"/>
                  </c:ext>
                </c:extLst>
              </c15:ser>
            </c15:filteredBarSeries>
          </c:ext>
        </c:extLst>
      </c:barChart>
      <c:catAx>
        <c:axId val="1947818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47813327"/>
        <c:crosses val="autoZero"/>
        <c:auto val="1"/>
        <c:lblAlgn val="ctr"/>
        <c:lblOffset val="100"/>
        <c:noMultiLvlLbl val="0"/>
      </c:catAx>
      <c:valAx>
        <c:axId val="194781332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47818607"/>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Carbon - Whole Neighborhood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spPr>
            <a:solidFill>
              <a:schemeClr val="accent1"/>
            </a:solidFill>
            <a:ln>
              <a:solidFill>
                <a:schemeClr val="tx1"/>
              </a:solidFill>
            </a:ln>
            <a:effectLst/>
          </c:spPr>
          <c:invertIfNegative val="0"/>
          <c:cat>
            <c:strRef>
              <c:f>'Neighborhood - TMY3'!$U$23:$Y$23</c:f>
              <c:strCache>
                <c:ptCount val="5"/>
                <c:pt idx="0">
                  <c:v>Whole Neighborhood - Existing</c:v>
                </c:pt>
                <c:pt idx="1">
                  <c:v>Whole Neighborhood - Geo</c:v>
                </c:pt>
                <c:pt idx="2">
                  <c:v>Whole Neighborhood - Geo + Wx</c:v>
                </c:pt>
                <c:pt idx="3">
                  <c:v>Whole Neighborhood - Geo + PV + Wx</c:v>
                </c:pt>
                <c:pt idx="4">
                  <c:v>Whole Neighborhood - Geo + PV + Wx + 2030 Grid</c:v>
                </c:pt>
              </c:strCache>
            </c:strRef>
          </c:cat>
          <c:val>
            <c:numRef>
              <c:f>'Neighborhood - TMY3'!$U$46:$Y$46</c:f>
              <c:numCache>
                <c:formatCode>0</c:formatCode>
                <c:ptCount val="5"/>
                <c:pt idx="0">
                  <c:v>3997.1136383407961</c:v>
                </c:pt>
                <c:pt idx="1">
                  <c:v>3722.8629017730386</c:v>
                </c:pt>
                <c:pt idx="2">
                  <c:v>3576.1738948528259</c:v>
                </c:pt>
                <c:pt idx="3">
                  <c:v>2476.376721506399</c:v>
                </c:pt>
                <c:pt idx="4">
                  <c:v>993.2</c:v>
                </c:pt>
              </c:numCache>
            </c:numRef>
          </c:val>
          <c:extLst>
            <c:ext xmlns:c16="http://schemas.microsoft.com/office/drawing/2014/chart" uri="{C3380CC4-5D6E-409C-BE32-E72D297353CC}">
              <c16:uniqueId val="{00000000-D3C6-4588-99F5-754F5CDB4195}"/>
            </c:ext>
          </c:extLst>
        </c:ser>
        <c:ser>
          <c:idx val="1"/>
          <c:order val="1"/>
          <c:spPr>
            <a:pattFill prst="ltUpDiag">
              <a:fgClr>
                <a:srgbClr val="00B050"/>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9D0-4699-BD61-C93F604C9F15}"/>
                </c:ext>
              </c:extLst>
            </c:dLbl>
            <c:dLbl>
              <c:idx val="1"/>
              <c:layout>
                <c:manualLayout>
                  <c:x val="0"/>
                  <c:y val="-6.5409847041797003E-2"/>
                </c:manualLayout>
              </c:layout>
              <c:tx>
                <c:rich>
                  <a:bodyPr/>
                  <a:lstStyle/>
                  <a:p>
                    <a:r>
                      <a:rPr lang="en-US"/>
                      <a:t>Savings = </a:t>
                    </a:r>
                  </a:p>
                  <a:p>
                    <a:fld id="{4349990B-70AC-404B-B5C9-FF30D16ECC49}"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{4349990B-70AC-404B-B5C9-FF30D16ECC49}</c15:txfldGUID>
                      <c15:f>'Neighborhood - TMY3'!$V$48</c15:f>
                      <c15:dlblFieldTableCache>
                        <c:ptCount val="1"/>
                        <c:pt idx="0">
                          <c:v>7%</c:v>
                        </c:pt>
                      </c15:dlblFieldTableCache>
                    </c15:dlblFTEntry>
                  </c15:dlblFieldTable>
                  <c15:showDataLabelsRange val="0"/>
                </c:ext>
                <c:ext xmlns:c16="http://schemas.microsoft.com/office/drawing/2014/chart" uri="{C3380CC4-5D6E-409C-BE32-E72D297353CC}">
                  <c16:uniqueId val="{00000000-C807-48C0-A8A6-A57278A3785C}"/>
                </c:ext>
              </c:extLst>
            </c:dLbl>
            <c:dLbl>
              <c:idx val="2"/>
              <c:layout>
                <c:manualLayout>
                  <c:x val="0"/>
                  <c:y val="-8.2622964684375119E-2"/>
                </c:manualLayout>
              </c:layout>
              <c:tx>
                <c:rich>
                  <a:bodyPr/>
                  <a:lstStyle/>
                  <a:p>
                    <a:r>
                      <a:rPr lang="en-US"/>
                      <a:t>Savings = </a:t>
                    </a:r>
                  </a:p>
                  <a:p>
                    <a:fld id="{8E64EA60-3448-40D8-A3FF-BD60E9852944}"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{8E64EA60-3448-40D8-A3FF-BD60E9852944}</c15:txfldGUID>
                      <c15:f>'Neighborhood - TMY3'!$W$48</c15:f>
                      <c15:dlblFieldTableCache>
                        <c:ptCount val="1"/>
                        <c:pt idx="0">
                          <c:v>11%</c:v>
                        </c:pt>
                      </c15:dlblFieldTableCache>
                    </c15:dlblFTEntry>
                  </c15:dlblFieldTable>
                  <c15:showDataLabelsRange val="0"/>
                </c:ext>
                <c:ext xmlns:c16="http://schemas.microsoft.com/office/drawing/2014/chart" uri="{C3380CC4-5D6E-409C-BE32-E72D297353CC}">
                  <c16:uniqueId val="{00000001-C807-48C0-A8A6-A57278A3785C}"/>
                </c:ext>
              </c:extLst>
            </c:dLbl>
            <c:dLbl>
              <c:idx val="3"/>
              <c:layout>
                <c:manualLayout>
                  <c:x val="-2.404688650570148E-3"/>
                  <c:y val="-0.17213117642578155"/>
                </c:manualLayout>
              </c:layout>
              <c:tx>
                <c:rich>
                  <a:bodyPr/>
                  <a:lstStyle/>
                  <a:p>
                    <a:r>
                      <a:rPr lang="en-US"/>
                      <a:t>Savings = </a:t>
                    </a:r>
                  </a:p>
                  <a:p>
                    <a:fld id="{02645504-FD5C-4B2B-A3C7-BD0C95BEB7A5}"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{02645504-FD5C-4B2B-A3C7-BD0C95BEB7A5}</c15:txfldGUID>
                      <c15:f>'Neighborhood - TMY3'!$X$48</c15:f>
                      <c15:dlblFieldTableCache>
                        <c:ptCount val="1"/>
                        <c:pt idx="0">
                          <c:v>38%</c:v>
                        </c:pt>
                      </c15:dlblFieldTableCache>
                    </c15:dlblFTEntry>
                  </c15:dlblFieldTable>
                  <c15:showDataLabelsRange val="0"/>
                </c:ext>
                <c:ext xmlns:c16="http://schemas.microsoft.com/office/drawing/2014/chart" uri="{C3380CC4-5D6E-409C-BE32-E72D297353CC}">
                  <c16:uniqueId val="{00000002-C807-48C0-A8A6-A57278A3785C}"/>
                </c:ext>
              </c:extLst>
            </c:dLbl>
            <c:dLbl>
              <c:idx val="4"/>
              <c:layout>
                <c:manualLayout>
                  <c:x val="0"/>
                  <c:y val="-0.27658647138461678"/>
                </c:manualLayout>
              </c:layout>
              <c:tx>
                <c:rich>
                  <a:bodyPr/>
                  <a:lstStyle/>
                  <a:p>
                    <a:r>
                      <a:rPr lang="en-US"/>
                      <a:t>Savings = </a:t>
                    </a:r>
                  </a:p>
                  <a:p>
                    <a:fld id="{971F743F-EF63-4F86-9213-1C45E0B50755}"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{971F743F-EF63-4F86-9213-1C45E0B50755}</c15:txfldGUID>
                      <c15:f>'Neighborhood - TMY3'!$Y$48</c15:f>
                      <c15:dlblFieldTableCache>
                        <c:ptCount val="1"/>
                        <c:pt idx="0">
                          <c:v>75%</c:v>
                        </c:pt>
                      </c15:dlblFieldTableCache>
                    </c15:dlblFTEntry>
                  </c15:dlblFieldTable>
                  <c15:showDataLabelsRange val="0"/>
                </c:ext>
                <c:ext xmlns:c16="http://schemas.microsoft.com/office/drawing/2014/chart" uri="{C3380CC4-5D6E-409C-BE32-E72D297353CC}">
                  <c16:uniqueId val="{00000002-4350-4BE1-8308-416CD555C1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'Neighborhood - TMY3'!$U$23:$Y$23</c:f>
              <c:strCache>
                <c:ptCount val="5"/>
                <c:pt idx="0">
                  <c:v>Whole Neighborhood - Existing</c:v>
                </c:pt>
                <c:pt idx="1">
                  <c:v>Whole Neighborhood - Geo</c:v>
                </c:pt>
                <c:pt idx="2">
                  <c:v>Whole Neighborhood - Geo + Wx</c:v>
                </c:pt>
                <c:pt idx="3">
                  <c:v>Whole Neighborhood - Geo + PV + Wx</c:v>
                </c:pt>
                <c:pt idx="4">
                  <c:v>Whole Neighborhood - Geo + PV + Wx + 2030 Grid</c:v>
                </c:pt>
              </c:strCache>
            </c:strRef>
          </c:cat>
          <c:val>
            <c:numRef>
              <c:f>'Neighborhood - TMY3'!$U$47:$Y$47</c:f>
              <c:numCache>
                <c:formatCode>0</c:formatCode>
                <c:ptCount val="5"/>
                <c:pt idx="0" formatCode="General">
                  <c:v>0</c:v>
                </c:pt>
                <c:pt idx="1">
                  <c:v>274.25073656775749</c:v>
                </c:pt>
                <c:pt idx="2">
                  <c:v>420.93974348797019</c:v>
                </c:pt>
                <c:pt idx="3">
                  <c:v>1520.7369168343971</c:v>
                </c:pt>
                <c:pt idx="4">
                  <c:v>3003.9136383407958</c:v>
                </c:pt>
              </c:numCache>
            </c:numRef>
          </c:val>
          <c:extLst>
            <c:ext xmlns:c16="http://schemas.microsoft.com/office/drawing/2014/chart" uri="{C3380CC4-5D6E-409C-BE32-E72D297353CC}">
              <c16:uniqueId val="{00000000-4350-4BE1-8308-416CD555C1E5}"/>
            </c:ext>
          </c:extLst>
        </c:ser>
        <c:ser>
          <c:idx val="2"/>
          <c:order val="2"/>
          <c:spPr>
            <a:solidFill>
              <a:schemeClr val="accent3"/>
            </a:solidFill>
            <a:ln>
              <a:noFill/>
            </a:ln>
            <a:effectLst/>
          </c:spPr>
          <c:invertIfNegative val="0"/>
          <c:cat>
            <c:strRef>
              <c:f>'Neighborhood - TMY3'!$U$23:$Y$23</c:f>
              <c:strCache>
                <c:ptCount val="5"/>
                <c:pt idx="0">
                  <c:v>Whole Neighborhood - Existing</c:v>
                </c:pt>
                <c:pt idx="1">
                  <c:v>Whole Neighborhood - Geo</c:v>
                </c:pt>
                <c:pt idx="2">
                  <c:v>Whole Neighborhood - Geo + Wx</c:v>
                </c:pt>
                <c:pt idx="3">
                  <c:v>Whole Neighborhood - Geo + PV + Wx</c:v>
                </c:pt>
                <c:pt idx="4">
                  <c:v>Whole Neighborhood - Geo + PV + Wx + 2030 Grid</c:v>
                </c:pt>
              </c:strCache>
            </c:strRef>
          </c:cat>
          <c:val>
            <c:numRef>
              <c:f>'Neighborhood - TMY3'!$U$48:$Y$48</c:f>
              <c:numCache>
                <c:formatCode>0%</c:formatCode>
                <c:ptCount val="5"/>
                <c:pt idx="1">
                  <c:v>6.8612194043499608E-2</c:v>
                </c:pt>
                <c:pt idx="2">
                  <c:v>0.10531092722765378</c:v>
                </c:pt>
                <c:pt idx="3">
                  <c:v>0.3804587646063663</c:v>
                </c:pt>
                <c:pt idx="4">
                  <c:v>0.75152069971864055</c:v>
                </c:pt>
              </c:numCache>
            </c:numRef>
          </c:val>
          <c:extLst>
            <c:ext xmlns:c16="http://schemas.microsoft.com/office/drawing/2014/chart" uri="{C3380CC4-5D6E-409C-BE32-E72D297353CC}">
              <c16:uniqueId val="{00000001-4350-4BE1-8308-416CD555C1E5}"/>
            </c:ext>
          </c:extLst>
        </c:ser>
        <c:dLbls>
          <c:showLegendKey val="0"/>
          <c:showVal val="0"/>
          <c:showCatName val="0"/>
          <c:showSerName val="0"/>
          <c:showPercent val="0"/>
          <c:showBubbleSize val="0"/>
        </c:dLbls>
        <c:gapWidth val="219"/>
        <c:overlap val="100"/>
        <c:axId val="1894874511"/>
        <c:axId val="1894871631"/>
      </c:barChart>
      <c:catAx>
        <c:axId val="1894874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4871631"/>
        <c:crosses val="autoZero"/>
        <c:auto val="1"/>
        <c:lblAlgn val="ctr"/>
        <c:lblOffset val="100"/>
        <c:noMultiLvlLbl val="0"/>
      </c:catAx>
      <c:valAx>
        <c:axId val="18948716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metric tons CO2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48745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Energy - Homes Only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spPr>
            <a:solidFill>
              <a:schemeClr val="accent6"/>
            </a:solidFill>
            <a:ln>
              <a:noFill/>
            </a:ln>
            <a:effectLst/>
          </c:spPr>
          <c:invertIfNegative val="0"/>
          <c:cat>
            <c:strRef>
              <c:f>'Neighborhood - TMY3'!$C$23:$F$23</c:f>
              <c:strCache>
                <c:ptCount val="4"/>
                <c:pt idx="0">
                  <c:v>262 Homes - Existing</c:v>
                </c:pt>
                <c:pt idx="1">
                  <c:v>262 Homes - Geo</c:v>
                </c:pt>
                <c:pt idx="2">
                  <c:v>262 Homes - Geo + Wx</c:v>
                </c:pt>
                <c:pt idx="3">
                  <c:v>262 Homes - Geo + PV + Wx</c:v>
                </c:pt>
              </c:strCache>
            </c:strRef>
          </c:cat>
          <c:val>
            <c:numRef>
              <c:f>'Neighborhood - TMY3'!$C$31:$F$31</c:f>
              <c:numCache>
                <c:formatCode>#,##0.0</c:formatCode>
                <c:ptCount val="4"/>
                <c:pt idx="0">
                  <c:v>110.82049195332092</c:v>
                </c:pt>
                <c:pt idx="1">
                  <c:v>46.544631199969849</c:v>
                </c:pt>
                <c:pt idx="2">
                  <c:v>43.05532495440584</c:v>
                </c:pt>
                <c:pt idx="3" formatCode="#,##0.00">
                  <c:v>16.840512645892733</c:v>
                </c:pt>
              </c:numCache>
            </c:numRef>
          </c:val>
          <c:extLst>
            <c:ext xmlns:c16="http://schemas.microsoft.com/office/drawing/2014/chart" uri="{C3380CC4-5D6E-409C-BE32-E72D297353CC}">
              <c16:uniqueId val="{00000000-2CF1-4AF4-93C7-CC3639D79B80}"/>
            </c:ext>
          </c:extLst>
        </c:ser>
        <c:ser>
          <c:idx val="1"/>
          <c:order val="1"/>
          <c:spPr>
            <a:pattFill prst="ltUpDiag">
              <a:fgClr>
                <a:srgbClr val="00B050"/>
              </a:fgClr>
              <a:bgClr>
                <a:schemeClr val="bg1"/>
              </a:bgClr>
            </a:pattFill>
            <a:ln>
              <a:noFill/>
            </a:ln>
            <a:effectLst/>
          </c:spPr>
          <c:invertIfNegative val="0"/>
          <c:cat>
            <c:strRef>
              <c:f>'Neighborhood - TMY3'!$C$23:$F$23</c:f>
              <c:strCache>
                <c:ptCount val="4"/>
                <c:pt idx="0">
                  <c:v>262 Homes - Existing</c:v>
                </c:pt>
                <c:pt idx="1">
                  <c:v>262 Homes - Geo</c:v>
                </c:pt>
                <c:pt idx="2">
                  <c:v>262 Homes - Geo + Wx</c:v>
                </c:pt>
                <c:pt idx="3">
                  <c:v>262 Homes - Geo + PV + Wx</c:v>
                </c:pt>
              </c:strCache>
            </c:strRef>
          </c:cat>
          <c:val>
            <c:numRef>
              <c:f>'Neighborhood - TMY3'!$C$32:$F$32</c:f>
              <c:numCache>
                <c:formatCode>#,##0.0</c:formatCode>
                <c:ptCount val="4"/>
                <c:pt idx="0" formatCode="General">
                  <c:v>0</c:v>
                </c:pt>
                <c:pt idx="1">
                  <c:v>64.275860753351083</c:v>
                </c:pt>
                <c:pt idx="2">
                  <c:v>67.765166998915078</c:v>
                </c:pt>
                <c:pt idx="3">
                  <c:v>93.979979307428195</c:v>
                </c:pt>
              </c:numCache>
            </c:numRef>
          </c:val>
          <c:extLst>
            <c:ext xmlns:c16="http://schemas.microsoft.com/office/drawing/2014/chart" uri="{C3380CC4-5D6E-409C-BE32-E72D297353CC}">
              <c16:uniqueId val="{00000005-2CF1-4AF4-93C7-CC3639D79B80}"/>
            </c:ext>
          </c:extLst>
        </c:ser>
        <c:dLbls>
          <c:showLegendKey val="0"/>
          <c:showVal val="0"/>
          <c:showCatName val="0"/>
          <c:showSerName val="0"/>
          <c:showPercent val="0"/>
          <c:showBubbleSize val="0"/>
        </c:dLbls>
        <c:gapWidth val="219"/>
        <c:overlap val="100"/>
        <c:axId val="1947818607"/>
        <c:axId val="1947813327"/>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'Neighborhood - TMY3'!$C$23:$F$23</c15:sqref>
                        </c15:formulaRef>
                      </c:ext>
                    </c:extLst>
                    <c:strCache>
                      <c:ptCount val="4"/>
                      <c:pt idx="0">
                        <c:v>262 Homes - Existing</c:v>
                      </c:pt>
                      <c:pt idx="1">
                        <c:v>262 Homes - Geo</c:v>
                      </c:pt>
                      <c:pt idx="2">
                        <c:v>262 Homes - Geo + Wx</c:v>
                      </c:pt>
                      <c:pt idx="3">
                        <c:v>262 Homes - Geo + PV + Wx</c:v>
                      </c:pt>
                    </c:strCache>
                  </c:strRef>
                </c:cat>
                <c:val>
                  <c:numRef>
                    <c:extLst>
                      <c:ext uri="{02D57815-91ED-43cb-92C2-25804820EDAC}">
                        <c15:formulaRef>
                          <c15:sqref>'Neighborhood - TMY3'!$C$44:$F$44</c15:sqref>
                        </c15:formulaRef>
                      </c:ext>
                    </c:extLst>
                    <c:numCache>
                      <c:formatCode>0.0%</c:formatCode>
                      <c:ptCount val="4"/>
                      <c:pt idx="0" formatCode="General">
                        <c:v>0</c:v>
                      </c:pt>
                      <c:pt idx="1">
                        <c:v>2.5710520002185877E-2</c:v>
                      </c:pt>
                      <c:pt idx="2">
                        <c:v>0.11821790300250867</c:v>
                      </c:pt>
                      <c:pt idx="3">
                        <c:v>0.76768909583108869</c:v>
                      </c:pt>
                    </c:numCache>
                  </c:numRef>
                </c:val>
                <c:extLst>
                  <c:ext xmlns:c16="http://schemas.microsoft.com/office/drawing/2014/chart" uri="{C3380CC4-5D6E-409C-BE32-E72D297353CC}">
                    <c16:uniqueId val="{00000006-2CF1-4AF4-93C7-CC3639D79B80}"/>
                  </c:ext>
                </c:extLst>
              </c15:ser>
            </c15:filteredBarSeries>
          </c:ext>
        </c:extLst>
      </c:barChart>
      <c:catAx>
        <c:axId val="1947818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47813327"/>
        <c:crosses val="autoZero"/>
        <c:auto val="1"/>
        <c:lblAlgn val="ctr"/>
        <c:lblOffset val="100"/>
        <c:noMultiLvlLbl val="0"/>
      </c:catAx>
      <c:valAx>
        <c:axId val="19478133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47818607"/>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Carbon - Homes Only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cat>
            <c:strRef>
              <c:f>'Neighborhood - TMY3'!$C$23:$F$23</c:f>
              <c:strCache>
                <c:ptCount val="4"/>
                <c:pt idx="0">
                  <c:v>262 Homes - Existing</c:v>
                </c:pt>
                <c:pt idx="1">
                  <c:v>262 Homes - Geo</c:v>
                </c:pt>
                <c:pt idx="2">
                  <c:v>262 Homes - Geo + Wx</c:v>
                </c:pt>
                <c:pt idx="3">
                  <c:v>262 Homes - Geo + PV + Wx</c:v>
                </c:pt>
              </c:strCache>
            </c:strRef>
          </c:cat>
          <c:val>
            <c:numRef>
              <c:f>'Neighborhood - TMY3'!$C$46:$F$46</c:f>
              <c:numCache>
                <c:formatCode>#,##0</c:formatCode>
                <c:ptCount val="4"/>
                <c:pt idx="0">
                  <c:v>2083.251701551852</c:v>
                </c:pt>
                <c:pt idx="1">
                  <c:v>1611.6938489855152</c:v>
                </c:pt>
                <c:pt idx="2">
                  <c:v>1465.0048420653025</c:v>
                </c:pt>
                <c:pt idx="3">
                  <c:v>365.20766871887497</c:v>
                </c:pt>
              </c:numCache>
            </c:numRef>
          </c:val>
          <c:extLst>
            <c:ext xmlns:c16="http://schemas.microsoft.com/office/drawing/2014/chart" uri="{C3380CC4-5D6E-409C-BE32-E72D297353CC}">
              <c16:uniqueId val="{00000000-BF23-4050-8168-3D5F06704804}"/>
            </c:ext>
          </c:extLst>
        </c:ser>
        <c:ser>
          <c:idx val="1"/>
          <c:order val="1"/>
          <c:spPr>
            <a:pattFill prst="ltUpDiag">
              <a:fgClr>
                <a:srgbClr val="00B050"/>
              </a:fgClr>
              <a:bgClr>
                <a:schemeClr val="bg1"/>
              </a:bgClr>
            </a:pattFill>
            <a:ln>
              <a:noFill/>
            </a:ln>
            <a:effectLst/>
          </c:spPr>
          <c:invertIfNegative val="0"/>
          <c:cat>
            <c:strRef>
              <c:f>'Neighborhood - TMY3'!$C$23:$F$23</c:f>
              <c:strCache>
                <c:ptCount val="4"/>
                <c:pt idx="0">
                  <c:v>262 Homes - Existing</c:v>
                </c:pt>
                <c:pt idx="1">
                  <c:v>262 Homes - Geo</c:v>
                </c:pt>
                <c:pt idx="2">
                  <c:v>262 Homes - Geo + Wx</c:v>
                </c:pt>
                <c:pt idx="3">
                  <c:v>262 Homes - Geo + PV + Wx</c:v>
                </c:pt>
              </c:strCache>
            </c:strRef>
          </c:cat>
          <c:val>
            <c:numRef>
              <c:f>'Neighborhood - TMY3'!$C$47:$F$47</c:f>
              <c:numCache>
                <c:formatCode>#,##0.0</c:formatCode>
                <c:ptCount val="4"/>
                <c:pt idx="0" formatCode="General">
                  <c:v>0</c:v>
                </c:pt>
                <c:pt idx="1">
                  <c:v>471.55785256633681</c:v>
                </c:pt>
                <c:pt idx="2">
                  <c:v>618.24685948654951</c:v>
                </c:pt>
                <c:pt idx="3">
                  <c:v>1718.0440328329769</c:v>
                </c:pt>
              </c:numCache>
            </c:numRef>
          </c:val>
          <c:extLst>
            <c:ext xmlns:c16="http://schemas.microsoft.com/office/drawing/2014/chart" uri="{C3380CC4-5D6E-409C-BE32-E72D297353CC}">
              <c16:uniqueId val="{00000005-BF23-4050-8168-3D5F06704804}"/>
            </c:ext>
          </c:extLst>
        </c:ser>
        <c:dLbls>
          <c:showLegendKey val="0"/>
          <c:showVal val="0"/>
          <c:showCatName val="0"/>
          <c:showSerName val="0"/>
          <c:showPercent val="0"/>
          <c:showBubbleSize val="0"/>
        </c:dLbls>
        <c:gapWidth val="219"/>
        <c:overlap val="100"/>
        <c:axId val="1947818607"/>
        <c:axId val="1947813327"/>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'Neighborhood - TMY3'!$C$23:$F$23</c15:sqref>
                        </c15:formulaRef>
                      </c:ext>
                    </c:extLst>
                    <c:strCache>
                      <c:ptCount val="4"/>
                      <c:pt idx="0">
                        <c:v>262 Homes - Existing</c:v>
                      </c:pt>
                      <c:pt idx="1">
                        <c:v>262 Homes - Geo</c:v>
                      </c:pt>
                      <c:pt idx="2">
                        <c:v>262 Homes - Geo + Wx</c:v>
                      </c:pt>
                      <c:pt idx="3">
                        <c:v>262 Homes - Geo + PV + Wx</c:v>
                      </c:pt>
                    </c:strCache>
                  </c:strRef>
                </c:cat>
                <c:val>
                  <c:numRef>
                    <c:extLst>
                      <c:ext uri="{02D57815-91ED-43cb-92C2-25804820EDAC}">
                        <c15:formulaRef>
                          <c15:sqref>'Neighborhood - TMY3'!$C$44:$F$44</c15:sqref>
                        </c15:formulaRef>
                      </c:ext>
                    </c:extLst>
                    <c:numCache>
                      <c:formatCode>0.0%</c:formatCode>
                      <c:ptCount val="4"/>
                      <c:pt idx="0" formatCode="General">
                        <c:v>0</c:v>
                      </c:pt>
                      <c:pt idx="1">
                        <c:v>2.5710520002185877E-2</c:v>
                      </c:pt>
                      <c:pt idx="2">
                        <c:v>0.11821790300250867</c:v>
                      </c:pt>
                      <c:pt idx="3">
                        <c:v>0.76768909583108869</c:v>
                      </c:pt>
                    </c:numCache>
                  </c:numRef>
                </c:val>
                <c:extLst>
                  <c:ext xmlns:c16="http://schemas.microsoft.com/office/drawing/2014/chart" uri="{C3380CC4-5D6E-409C-BE32-E72D297353CC}">
                    <c16:uniqueId val="{00000006-BF23-4050-8168-3D5F06704804}"/>
                  </c:ext>
                </c:extLst>
              </c15:ser>
            </c15:filteredBarSeries>
          </c:ext>
        </c:extLst>
      </c:barChart>
      <c:catAx>
        <c:axId val="1947818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47813327"/>
        <c:crosses val="autoZero"/>
        <c:auto val="1"/>
        <c:lblAlgn val="ctr"/>
        <c:lblOffset val="100"/>
        <c:noMultiLvlLbl val="0"/>
      </c:catAx>
      <c:valAx>
        <c:axId val="19478133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47818607"/>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Energy Consumption - Whole Neighborhood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spPr>
            <a:solidFill>
              <a:schemeClr val="accent6"/>
            </a:solidFill>
            <a:ln>
              <a:noFill/>
            </a:ln>
            <a:effectLst/>
          </c:spPr>
          <c:invertIfNegative val="0"/>
          <c:cat>
            <c:strRef>
              <c:f>'Neighborhood - TMY3'!$U$23:$X$23</c:f>
              <c:strCache>
                <c:ptCount val="4"/>
                <c:pt idx="0">
                  <c:v>Whole Neighborhood - Existing</c:v>
                </c:pt>
                <c:pt idx="1">
                  <c:v>Whole Neighborhood - Geo</c:v>
                </c:pt>
                <c:pt idx="2">
                  <c:v>Whole Neighborhood - Geo + Wx</c:v>
                </c:pt>
                <c:pt idx="3">
                  <c:v>Whole Neighborhood - Geo + PV + Wx</c:v>
                </c:pt>
              </c:strCache>
            </c:strRef>
          </c:cat>
          <c:val>
            <c:numRef>
              <c:f>'Neighborhood - TMY3'!$U$31:$X$31</c:f>
              <c:numCache>
                <c:formatCode>#,##0</c:formatCode>
                <c:ptCount val="4"/>
                <c:pt idx="0">
                  <c:v>40967134.260000005</c:v>
                </c:pt>
                <c:pt idx="1">
                  <c:v>22087932.903170768</c:v>
                </c:pt>
                <c:pt idx="2">
                  <c:v>21322217.104405042</c:v>
                </c:pt>
                <c:pt idx="3">
                  <c:v>15569470.130181782</c:v>
                </c:pt>
              </c:numCache>
            </c:numRef>
          </c:val>
          <c:extLst>
            <c:ext xmlns:c16="http://schemas.microsoft.com/office/drawing/2014/chart" uri="{C3380CC4-5D6E-409C-BE32-E72D297353CC}">
              <c16:uniqueId val="{00000000-F337-47FE-BCCA-082FC047DA7D}"/>
            </c:ext>
          </c:extLst>
        </c:ser>
        <c:ser>
          <c:idx val="1"/>
          <c:order val="1"/>
          <c:spPr>
            <a:pattFill prst="ltUpDiag">
              <a:fgClr>
                <a:srgbClr val="00B050"/>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F337-47FE-BCCA-082FC047DA7D}"/>
                </c:ext>
              </c:extLst>
            </c:dLbl>
            <c:dLbl>
              <c:idx val="1"/>
              <c:layout>
                <c:manualLayout>
                  <c:x val="0"/>
                  <c:y val="-0.18505467040488177"/>
                </c:manualLayout>
              </c:layout>
              <c:tx>
                <c:rich>
                  <a:bodyPr/>
                  <a:lstStyle/>
                  <a:p>
                    <a:r>
                      <a:rPr lang="en-US"/>
                      <a:t>Savings = </a:t>
                    </a:r>
                    <a:fld id="{E0B70359-6B66-4CBD-A432-F4761E632BDF}"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{E0B70359-6B66-4CBD-A432-F4761E632BDF}</c15:txfldGUID>
                      <c15:f>'Neighborhood - TMY3'!$V$33</c15:f>
                      <c15:dlblFieldTableCache>
                        <c:ptCount val="1"/>
                        <c:pt idx="0">
                          <c:v>46%</c:v>
                        </c:pt>
                      </c15:dlblFieldTableCache>
                    </c15:dlblFTEntry>
                  </c15:dlblFieldTable>
                  <c15:showDataLabelsRange val="0"/>
                </c:ext>
                <c:ext xmlns:c16="http://schemas.microsoft.com/office/drawing/2014/chart" uri="{C3380CC4-5D6E-409C-BE32-E72D297353CC}">
                  <c16:uniqueId val="{00000004-F337-47FE-BCCA-082FC047DA7D}"/>
                </c:ext>
              </c:extLst>
            </c:dLbl>
            <c:dLbl>
              <c:idx val="2"/>
              <c:layout>
                <c:manualLayout>
                  <c:x val="0"/>
                  <c:y val="-0.18812700531996362"/>
                </c:manualLayout>
              </c:layout>
              <c:tx>
                <c:rich>
                  <a:bodyPr/>
                  <a:lstStyle/>
                  <a:p>
                    <a:r>
                      <a:rPr lang="en-US"/>
                      <a:t>Savings = </a:t>
                    </a:r>
                    <a:fld id="{354BDEF6-5C0A-45E6-A1E9-F9BFFD447576}"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{354BDEF6-5C0A-45E6-A1E9-F9BFFD447576}</c15:txfldGUID>
                      <c15:f>'Neighborhood - TMY3'!$W$33</c15:f>
                      <c15:dlblFieldTableCache>
                        <c:ptCount val="1"/>
                        <c:pt idx="0">
                          <c:v>48%</c:v>
                        </c:pt>
                      </c15:dlblFieldTableCache>
                    </c15:dlblFTEntry>
                  </c15:dlblFieldTable>
                  <c15:showDataLabelsRange val="0"/>
                </c:ext>
                <c:ext xmlns:c16="http://schemas.microsoft.com/office/drawing/2014/chart" uri="{C3380CC4-5D6E-409C-BE32-E72D297353CC}">
                  <c16:uniqueId val="{00000005-F337-47FE-BCCA-082FC047DA7D}"/>
                </c:ext>
              </c:extLst>
            </c:dLbl>
            <c:dLbl>
              <c:idx val="3"/>
              <c:layout>
                <c:manualLayout>
                  <c:x val="2.5736984634614868E-3"/>
                  <c:y val="-0.23103324389815091"/>
                </c:manualLayout>
              </c:layout>
              <c:tx>
                <c:rich>
                  <a:bodyPr/>
                  <a:lstStyle/>
                  <a:p>
                    <a:r>
                      <a:rPr lang="en-US"/>
                      <a:t>Savings = </a:t>
                    </a:r>
                    <a:fld id="{3FF028A2-A5D7-446A-BE73-B3EFE6478C6C}"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{3FF028A2-A5D7-446A-BE73-B3EFE6478C6C}</c15:txfldGUID>
                      <c15:f>'Neighborhood - TMY3'!$X$33</c15:f>
                      <c15:dlblFieldTableCache>
                        <c:ptCount val="1"/>
                        <c:pt idx="0">
                          <c:v>62%</c:v>
                        </c:pt>
                      </c15:dlblFieldTableCache>
                    </c15:dlblFTEntry>
                  </c15:dlblFieldTable>
                  <c15:showDataLabelsRange val="0"/>
                </c:ext>
                <c:ext xmlns:c16="http://schemas.microsoft.com/office/drawing/2014/chart" uri="{C3380CC4-5D6E-409C-BE32-E72D297353CC}">
                  <c16:uniqueId val="{00000003-F337-47FE-BCCA-082FC047DA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'Neighborhood - TMY3'!$U$23:$X$23</c:f>
              <c:strCache>
                <c:ptCount val="4"/>
                <c:pt idx="0">
                  <c:v>Whole Neighborhood - Existing</c:v>
                </c:pt>
                <c:pt idx="1">
                  <c:v>Whole Neighborhood - Geo</c:v>
                </c:pt>
                <c:pt idx="2">
                  <c:v>Whole Neighborhood - Geo + Wx</c:v>
                </c:pt>
                <c:pt idx="3">
                  <c:v>Whole Neighborhood - Geo + PV + Wx</c:v>
                </c:pt>
              </c:strCache>
            </c:strRef>
          </c:cat>
          <c:val>
            <c:numRef>
              <c:f>'Neighborhood - TMY3'!$U$32:$X$32</c:f>
              <c:numCache>
                <c:formatCode>#,##0</c:formatCode>
                <c:ptCount val="4"/>
                <c:pt idx="0" formatCode="General">
                  <c:v>0</c:v>
                </c:pt>
                <c:pt idx="1">
                  <c:v>18879201.356829237</c:v>
                </c:pt>
                <c:pt idx="2">
                  <c:v>19644917.155594964</c:v>
                </c:pt>
                <c:pt idx="3">
                  <c:v>25397664.129818223</c:v>
                </c:pt>
              </c:numCache>
            </c:numRef>
          </c:val>
          <c:extLst>
            <c:ext xmlns:c16="http://schemas.microsoft.com/office/drawing/2014/chart" uri="{C3380CC4-5D6E-409C-BE32-E72D297353CC}">
              <c16:uniqueId val="{00000001-F337-47FE-BCCA-082FC047DA7D}"/>
            </c:ext>
          </c:extLst>
        </c:ser>
        <c:dLbls>
          <c:showLegendKey val="0"/>
          <c:showVal val="0"/>
          <c:showCatName val="0"/>
          <c:showSerName val="0"/>
          <c:showPercent val="0"/>
          <c:showBubbleSize val="0"/>
        </c:dLbls>
        <c:gapWidth val="219"/>
        <c:overlap val="100"/>
        <c:axId val="1947818607"/>
        <c:axId val="1947813327"/>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'Neighborhood - TMY3'!$U$23:$X$23</c15:sqref>
                        </c15:formulaRef>
                      </c:ext>
                    </c:extLst>
                    <c:strCache>
                      <c:ptCount val="4"/>
                      <c:pt idx="0">
                        <c:v>Whole Neighborhood - Existing</c:v>
                      </c:pt>
                      <c:pt idx="1">
                        <c:v>Whole Neighborhood - Geo</c:v>
                      </c:pt>
                      <c:pt idx="2">
                        <c:v>Whole Neighborhood - Geo + Wx</c:v>
                      </c:pt>
                      <c:pt idx="3">
                        <c:v>Whole Neighborhood - Geo + PV + Wx</c:v>
                      </c:pt>
                    </c:strCache>
                  </c:strRef>
                </c:cat>
                <c:val>
                  <c:numRef>
                    <c:extLst>
                      <c:ext uri="{02D57815-91ED-43cb-92C2-25804820EDAC}">
                        <c15:formulaRef>
                          <c15:sqref>'Neighborhood - TMY3'!$C$44:$F$44</c15:sqref>
                        </c15:formulaRef>
                      </c:ext>
                    </c:extLst>
                    <c:numCache>
                      <c:formatCode>0.0%</c:formatCode>
                      <c:ptCount val="4"/>
                      <c:pt idx="0" formatCode="General">
                        <c:v>0</c:v>
                      </c:pt>
                      <c:pt idx="1">
                        <c:v>2.5710520002185877E-2</c:v>
                      </c:pt>
                      <c:pt idx="2">
                        <c:v>0.11821790300250867</c:v>
                      </c:pt>
                      <c:pt idx="3">
                        <c:v>0.76768909583108869</c:v>
                      </c:pt>
                    </c:numCache>
                  </c:numRef>
                </c:val>
                <c:extLst>
                  <c:ext xmlns:c16="http://schemas.microsoft.com/office/drawing/2014/chart" uri="{C3380CC4-5D6E-409C-BE32-E72D297353CC}">
                    <c16:uniqueId val="{00000002-F337-47FE-BCCA-082FC047DA7D}"/>
                  </c:ext>
                </c:extLst>
              </c15:ser>
            </c15:filteredBarSeries>
          </c:ext>
        </c:extLst>
      </c:barChart>
      <c:catAx>
        <c:axId val="1947818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47813327"/>
        <c:crosses val="autoZero"/>
        <c:auto val="1"/>
        <c:lblAlgn val="ctr"/>
        <c:lblOffset val="100"/>
        <c:noMultiLvlLbl val="0"/>
      </c:catAx>
      <c:valAx>
        <c:axId val="1947813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kBtu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47818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Energy Cost </a:t>
            </a:r>
            <a:r>
              <a:rPr lang="en-US" baseline="0"/>
              <a:t>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'T3D-End Use'!$B$19</c:f>
              <c:strCache>
                <c:ptCount val="1"/>
                <c:pt idx="0">
                  <c:v>Lighting</c:v>
                </c:pt>
              </c:strCache>
            </c:strRef>
          </c:tx>
          <c:spPr>
            <a:solidFill>
              <a:schemeClr val="accent1"/>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Use'!$C$19:$N$19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A50-4B4F-931D-B0CC7EEEDDE9}"/>
            </c:ext>
          </c:extLst>
        </c:ser>
        <c:ser>
          <c:idx val="1"/>
          <c:order val="1"/>
          <c:tx>
            <c:strRef>
              <c:f>'T3D-End Use'!$B$20</c:f>
              <c:strCache>
                <c:ptCount val="1"/>
                <c:pt idx="0">
                  <c:v>Heating</c:v>
                </c:pt>
              </c:strCache>
            </c:strRef>
          </c:tx>
          <c:spPr>
            <a:solidFill>
              <a:schemeClr val="accent2"/>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Use'!$C$20:$N$20</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A50-4B4F-931D-B0CC7EEEDDE9}"/>
            </c:ext>
          </c:extLst>
        </c:ser>
        <c:ser>
          <c:idx val="2"/>
          <c:order val="2"/>
          <c:tx>
            <c:strRef>
              <c:f>'T3D-End Use'!$B$21</c:f>
              <c:strCache>
                <c:ptCount val="1"/>
                <c:pt idx="0">
                  <c:v>Cooling</c:v>
                </c:pt>
              </c:strCache>
            </c:strRef>
          </c:tx>
          <c:spPr>
            <a:solidFill>
              <a:schemeClr val="accent3"/>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Use'!$C$21:$N$21</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DA50-4B4F-931D-B0CC7EEEDDE9}"/>
            </c:ext>
          </c:extLst>
        </c:ser>
        <c:ser>
          <c:idx val="3"/>
          <c:order val="3"/>
          <c:tx>
            <c:strRef>
              <c:f>'T3D-End Use'!$B$22</c:f>
              <c:strCache>
                <c:ptCount val="1"/>
                <c:pt idx="0">
                  <c:v>Pumps</c:v>
                </c:pt>
              </c:strCache>
            </c:strRef>
          </c:tx>
          <c:spPr>
            <a:solidFill>
              <a:schemeClr val="accent4"/>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Use'!$C$22:$N$22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DA50-4B4F-931D-B0CC7EEEDDE9}"/>
            </c:ext>
          </c:extLst>
        </c:ser>
        <c:ser>
          <c:idx val="4"/>
          <c:order val="4"/>
          <c:tx>
            <c:strRef>
              <c:f>'T3D-End Use'!$B$23</c:f>
              <c:strCache>
                <c:ptCount val="1"/>
                <c:pt idx="0">
                  <c:v>Fans</c:v>
                </c:pt>
              </c:strCache>
            </c:strRef>
          </c:tx>
          <c:spPr>
            <a:solidFill>
              <a:schemeClr val="accent5"/>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Use'!$C$23:$N$23</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DA50-4B4F-931D-B0CC7EEEDDE9}"/>
            </c:ext>
          </c:extLst>
        </c:ser>
        <c:ser>
          <c:idx val="5"/>
          <c:order val="5"/>
          <c:tx>
            <c:strRef>
              <c:f>'T3D-End Use'!$B$24</c:f>
              <c:strCache>
                <c:ptCount val="1"/>
                <c:pt idx="0">
                  <c:v>Receptacles</c:v>
                </c:pt>
              </c:strCache>
            </c:strRef>
          </c:tx>
          <c:spPr>
            <a:solidFill>
              <a:schemeClr val="accent6"/>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Use'!$C$24:$N$24</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DA50-4B4F-931D-B0CC7EEEDDE9}"/>
            </c:ext>
          </c:extLst>
        </c:ser>
        <c:ser>
          <c:idx val="6"/>
          <c:order val="6"/>
          <c:tx>
            <c:strRef>
              <c:f>'T3D-End Use'!$B$25</c:f>
              <c:strCache>
                <c:ptCount val="1"/>
                <c:pt idx="0">
                  <c:v>DHW</c:v>
                </c:pt>
              </c:strCache>
            </c:strRef>
          </c:tx>
          <c:spPr>
            <a:solidFill>
              <a:schemeClr val="accent1">
                <a:lumMod val="60000"/>
              </a:schemeClr>
            </a:solidFill>
            <a:ln>
              <a:noFill/>
            </a:ln>
            <a:effectLst/>
          </c:spPr>
          <c:invertIfNegative val="0"/>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Use'!$C$25:$N$25</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DA50-4B4F-931D-B0CC7EEEDDE9}"/>
            </c:ext>
          </c:extLst>
        </c:ser>
        <c:ser>
          <c:idx val="7"/>
          <c:order val="7"/>
          <c:tx>
            <c:strRef>
              <c:f>'T3D-End Use'!$B$26</c:f>
              <c:strCache>
                <c:ptCount val="1"/>
                <c:pt idx="0">
                  <c:v>Savings </c:v>
                </c:pt>
              </c:strCache>
            </c:strRef>
          </c:tx>
          <c:spPr>
            <a:pattFill prst="ltUpDiag">
              <a:fgClr>
                <a:schemeClr val="accent3"/>
              </a:fgClr>
              <a:bgClr>
                <a:schemeClr val="bg1"/>
              </a:bgClr>
            </a:pattFill>
            <a:ln>
              <a:noFill/>
            </a:ln>
            <a:effectLst/>
          </c:spPr>
          <c:invertIfNegative val="0"/>
          <c:dLbls>
            <c:dLbl>
              <c:idx val="0"/>
              <c:tx>
                <c:rich>
                  <a:bodyPr/>
                  <a:lstStyle/>
                  <a:p>
                    <a:fld id="{D65B4B43-C1B0-47AC-8334-02B28F3E41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A50-4B4F-931D-B0CC7EEEDDE9}"/>
                </c:ext>
              </c:extLst>
            </c:dLbl>
            <c:dLbl>
              <c:idx val="1"/>
              <c:tx>
                <c:rich>
                  <a:bodyPr/>
                  <a:lstStyle/>
                  <a:p>
                    <a:fld id="{DA58E252-0581-4F00-8139-A41AC922A8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A50-4B4F-931D-B0CC7EEEDDE9}"/>
                </c:ext>
              </c:extLst>
            </c:dLbl>
            <c:dLbl>
              <c:idx val="2"/>
              <c:tx>
                <c:rich>
                  <a:bodyPr/>
                  <a:lstStyle/>
                  <a:p>
                    <a:fld id="{9D6659A0-5D14-4D30-9DBB-B8FC0C3227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A50-4B4F-931D-B0CC7EEEDDE9}"/>
                </c:ext>
              </c:extLst>
            </c:dLbl>
            <c:dLbl>
              <c:idx val="3"/>
              <c:tx>
                <c:rich>
                  <a:bodyPr/>
                  <a:lstStyle/>
                  <a:p>
                    <a:fld id="{CE6115FD-DA9E-4B48-97C1-B84CFB92CB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A50-4B4F-931D-B0CC7EEEDDE9}"/>
                </c:ext>
              </c:extLst>
            </c:dLbl>
            <c:dLbl>
              <c:idx val="4"/>
              <c:tx>
                <c:rich>
                  <a:bodyPr/>
                  <a:lstStyle/>
                  <a:p>
                    <a:fld id="{7361F092-5461-4DF6-9E77-624F41D2A8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A50-4B4F-931D-B0CC7EEEDDE9}"/>
                </c:ext>
              </c:extLst>
            </c:dLbl>
            <c:dLbl>
              <c:idx val="5"/>
              <c:tx>
                <c:rich>
                  <a:bodyPr/>
                  <a:lstStyle/>
                  <a:p>
                    <a:fld id="{CE1BF1BD-6965-4C64-BACA-441377F84B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DA50-4B4F-931D-B0CC7EEEDDE9}"/>
                </c:ext>
              </c:extLst>
            </c:dLbl>
            <c:dLbl>
              <c:idx val="6"/>
              <c:tx>
                <c:rich>
                  <a:bodyPr/>
                  <a:lstStyle/>
                  <a:p>
                    <a:fld id="{936F20B0-5B10-4D51-9B7A-2845BB8B06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A50-4B4F-931D-B0CC7EEEDDE9}"/>
                </c:ext>
              </c:extLst>
            </c:dLbl>
            <c:dLbl>
              <c:idx val="7"/>
              <c:tx>
                <c:rich>
                  <a:bodyPr/>
                  <a:lstStyle/>
                  <a:p>
                    <a:fld id="{C8B52D74-1C98-4340-8F19-F693EFA624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A50-4B4F-931D-B0CC7EEEDDE9}"/>
                </c:ext>
              </c:extLst>
            </c:dLbl>
            <c:dLbl>
              <c:idx val="8"/>
              <c:tx>
                <c:rich>
                  <a:bodyPr/>
                  <a:lstStyle/>
                  <a:p>
                    <a:fld id="{45304D67-67ED-40F4-BCB7-8EFCC431FD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DA50-4B4F-931D-B0CC7EEEDD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'T3D-End Use'!$C$4:$N$4</c:f>
              <c:strCache>
                <c:ptCount val="9"/>
                <c:pt idx="0">
                  <c:v>Baseline</c:v>
                </c:pt>
                <c:pt idx="1">
                  <c:v>Proposed: 1</c:v>
                </c:pt>
                <c:pt idx="2">
                  <c:v>Proposed: 2</c:v>
                </c:pt>
                <c:pt idx="3">
                  <c:v>Proposed: 3</c:v>
                </c:pt>
                <c:pt idx="4">
                  <c:v>Proposed: 4</c:v>
                </c:pt>
                <c:pt idx="5">
                  <c:v>Proposed: 5</c:v>
                </c:pt>
                <c:pt idx="6">
                  <c:v>Proposed: 6</c:v>
                </c:pt>
                <c:pt idx="7">
                  <c:v>Proposed: 7</c:v>
                </c:pt>
                <c:pt idx="8">
                  <c:v>Proposed: 8</c:v>
                </c:pt>
              </c:strCache>
            </c:strRef>
          </c:cat>
          <c:val>
            <c:numRef>
              <c:f>'T3D-End Use'!$C$26:$N$26</c:f>
              <c:numCache>
                <c:formatCode>_("$"* #,##0_);_("$"* \(#,##0\);_("$"* "-"??_);_(@_)</c:formatCode>
                <c:ptCount val="9"/>
                <c:pt idx="0" formatCode="_(* #,##0.0_);_(* \(#,##0.0\);_(* &quot;-&quot;?_);_(@_)">
                  <c:v>0</c:v>
                </c:pt>
                <c:pt idx="1">
                  <c:v>0</c:v>
                </c:pt>
                <c:pt idx="2">
                  <c:v>0</c:v>
                </c:pt>
                <c:pt idx="3">
                  <c:v>0</c:v>
                </c:pt>
                <c:pt idx="4">
                  <c:v>0</c:v>
                </c:pt>
                <c:pt idx="5">
                  <c:v>0</c:v>
                </c:pt>
                <c:pt idx="6">
                  <c:v>0</c:v>
                </c:pt>
                <c:pt idx="7">
                  <c:v>0</c:v>
                </c:pt>
                <c:pt idx="8">
                  <c:v>0</c:v>
                </c:pt>
              </c:numCache>
            </c:numRef>
          </c:val>
          <c:extLst>
            <c:ext xmlns:c15="http://schemas.microsoft.com/office/drawing/2012/chart" uri="{02D57815-91ED-43cb-92C2-25804820EDAC}">
              <c15:datalabelsRange>
                <c15:f>'T3D-End Use'!$C$30:$N$30</c15:f>
                <c15:dlblRangeCache>
                  <c:ptCount val="9"/>
                </c15:dlblRangeCache>
              </c15:datalabelsRange>
            </c:ext>
            <c:ext xmlns:c16="http://schemas.microsoft.com/office/drawing/2014/chart" uri="{C3380CC4-5D6E-409C-BE32-E72D297353CC}">
              <c16:uniqueId val="{00000010-DA50-4B4F-931D-B0CC7EEEDDE9}"/>
            </c:ext>
          </c:extLst>
        </c:ser>
        <c:dLbls>
          <c:showLegendKey val="0"/>
          <c:showVal val="0"/>
          <c:showCatName val="0"/>
          <c:showSerName val="0"/>
          <c:showPercent val="0"/>
          <c:showBubbleSize val="0"/>
        </c:dLbls>
        <c:gapWidth val="150"/>
        <c:overlap val="100"/>
        <c:axId val="1219553984"/>
        <c:axId val="1219555952"/>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Energy Cost ($/yr)</a:t>
                </a:r>
              </a:p>
            </c:rich>
          </c:tx>
          <c:layout>
            <c:manualLayout>
              <c:xMode val="edge"/>
              <c:yMode val="edge"/>
              <c:x val="5.4158596352143373E-2"/>
              <c:y val="0.172719945439890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Cost - Whole Neighborhood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spPr>
            <a:solidFill>
              <a:schemeClr val="accent2"/>
            </a:solidFill>
            <a:ln>
              <a:noFill/>
            </a:ln>
            <a:effectLst/>
          </c:spPr>
          <c:invertIfNegative val="0"/>
          <c:cat>
            <c:strRef>
              <c:f>'Neighborhood - TMY3'!$U$23:$X$23</c:f>
              <c:strCache>
                <c:ptCount val="4"/>
                <c:pt idx="0">
                  <c:v>Whole Neighborhood - Existing</c:v>
                </c:pt>
                <c:pt idx="1">
                  <c:v>Whole Neighborhood - Geo</c:v>
                </c:pt>
                <c:pt idx="2">
                  <c:v>Whole Neighborhood - Geo + Wx</c:v>
                </c:pt>
                <c:pt idx="3">
                  <c:v>Whole Neighborhood - Geo + PV + Wx</c:v>
                </c:pt>
              </c:strCache>
            </c:strRef>
          </c:cat>
          <c:val>
            <c:numRef>
              <c:f>'Neighborhood - TMY3'!$U$42:$X$42</c:f>
              <c:numCache>
                <c:formatCode>"$"#,##0</c:formatCode>
                <c:ptCount val="4"/>
                <c:pt idx="0">
                  <c:v>839198.03551068821</c:v>
                </c:pt>
                <c:pt idx="1">
                  <c:v>883026.90594543796</c:v>
                </c:pt>
                <c:pt idx="2">
                  <c:v>838857.86186389648</c:v>
                </c:pt>
                <c:pt idx="3">
                  <c:v>528758.05344496516</c:v>
                </c:pt>
              </c:numCache>
            </c:numRef>
          </c:val>
          <c:extLst>
            <c:ext xmlns:c16="http://schemas.microsoft.com/office/drawing/2014/chart" uri="{C3380CC4-5D6E-409C-BE32-E72D297353CC}">
              <c16:uniqueId val="{00000000-FBA4-4CEB-889B-CC737A34814E}"/>
            </c:ext>
          </c:extLst>
        </c:ser>
        <c:ser>
          <c:idx val="1"/>
          <c:order val="1"/>
          <c:spPr>
            <a:pattFill prst="ltUpDiag">
              <a:fgClr>
                <a:srgbClr val="00B050"/>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FBA4-4CEB-889B-CC737A34814E}"/>
                </c:ext>
              </c:extLst>
            </c:dLbl>
            <c:dLbl>
              <c:idx val="1"/>
              <c:layout>
                <c:manualLayout>
                  <c:x val="-4.2298889828232361E-17"/>
                  <c:y val="-5.1680924855491243E-2"/>
                </c:manualLayout>
              </c:layout>
              <c:tx>
                <c:rich>
                  <a:bodyPr/>
                  <a:lstStyle/>
                  <a:p>
                    <a:r>
                      <a:rPr lang="en-US"/>
                      <a:t>Savings = </a:t>
                    </a:r>
                    <a:fld id="{590EFA20-111D-401D-897B-407E4D0B08C1}"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{590EFA20-111D-401D-897B-407E4D0B08C1}</c15:txfldGUID>
                      <c15:f>'Neighborhood - TMY3'!$V$44</c15:f>
                      <c15:dlblFieldTableCache>
                        <c:ptCount val="1"/>
                        <c:pt idx="0">
                          <c:v>-5%</c:v>
                        </c:pt>
                      </c15:dlblFieldTableCache>
                    </c15:dlblFTEntry>
                  </c15:dlblFieldTable>
                  <c15:showDataLabelsRange val="0"/>
                </c:ext>
                <c:ext xmlns:c16="http://schemas.microsoft.com/office/drawing/2014/chart" uri="{C3380CC4-5D6E-409C-BE32-E72D297353CC}">
                  <c16:uniqueId val="{00000002-FBA4-4CEB-889B-CC737A34814E}"/>
                </c:ext>
              </c:extLst>
            </c:dLbl>
            <c:dLbl>
              <c:idx val="2"/>
              <c:layout>
                <c:manualLayout>
                  <c:x val="-8.4597779656464723E-17"/>
                  <c:y val="-3.7586127167630101E-2"/>
                </c:manualLayout>
              </c:layout>
              <c:tx>
                <c:rich>
                  <a:bodyPr/>
                  <a:lstStyle/>
                  <a:p>
                    <a:r>
                      <a:rPr lang="en-US"/>
                      <a:t>Savings = </a:t>
                    </a:r>
                    <a:fld id="{CAD6087C-5289-46C3-B50D-9F28168A27A8}"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{CAD6087C-5289-46C3-B50D-9F28168A27A8}</c15:txfldGUID>
                      <c15:f>'Neighborhood - TMY3'!$W$44</c15:f>
                      <c15:dlblFieldTableCache>
                        <c:ptCount val="1"/>
                        <c:pt idx="0">
                          <c:v>0%</c:v>
                        </c:pt>
                      </c15:dlblFieldTableCache>
                    </c15:dlblFTEntry>
                  </c15:dlblFieldTable>
                  <c15:showDataLabelsRange val="0"/>
                </c:ext>
                <c:ext xmlns:c16="http://schemas.microsoft.com/office/drawing/2014/chart" uri="{C3380CC4-5D6E-409C-BE32-E72D297353CC}">
                  <c16:uniqueId val="{00000003-FBA4-4CEB-889B-CC737A34814E}"/>
                </c:ext>
              </c:extLst>
            </c:dLbl>
            <c:dLbl>
              <c:idx val="3"/>
              <c:layout>
                <c:manualLayout>
                  <c:x val="4.6144776511218722E-3"/>
                  <c:y val="-0.12685317919075145"/>
                </c:manualLayout>
              </c:layout>
              <c:tx>
                <c:rich>
                  <a:bodyPr/>
                  <a:lstStyle/>
                  <a:p>
                    <a:r>
                      <a:rPr lang="en-US"/>
                      <a:t>Savings = </a:t>
                    </a:r>
                    <a:fld id="{FAD1B713-A3F9-44ED-912E-BB7B3E0C5E88}"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{FAD1B713-A3F9-44ED-912E-BB7B3E0C5E88}</c15:txfldGUID>
                      <c15:f>'Neighborhood - TMY3'!$X$44</c15:f>
                      <c15:dlblFieldTableCache>
                        <c:ptCount val="1"/>
                        <c:pt idx="0">
                          <c:v>37%</c:v>
                        </c:pt>
                      </c15:dlblFieldTableCache>
                    </c15:dlblFTEntry>
                  </c15:dlblFieldTable>
                  <c15:showDataLabelsRange val="0"/>
                </c:ext>
                <c:ext xmlns:c16="http://schemas.microsoft.com/office/drawing/2014/chart" uri="{C3380CC4-5D6E-409C-BE32-E72D297353CC}">
                  <c16:uniqueId val="{00000004-FBA4-4CEB-889B-CC737A3481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'Neighborhood - TMY3'!$U$23:$X$23</c:f>
              <c:strCache>
                <c:ptCount val="4"/>
                <c:pt idx="0">
                  <c:v>Whole Neighborhood - Existing</c:v>
                </c:pt>
                <c:pt idx="1">
                  <c:v>Whole Neighborhood - Geo</c:v>
                </c:pt>
                <c:pt idx="2">
                  <c:v>Whole Neighborhood - Geo + Wx</c:v>
                </c:pt>
                <c:pt idx="3">
                  <c:v>Whole Neighborhood - Geo + PV + Wx</c:v>
                </c:pt>
              </c:strCache>
            </c:strRef>
          </c:cat>
          <c:val>
            <c:numRef>
              <c:f>'Neighborhood - TMY3'!$U$43:$X$43</c:f>
              <c:numCache>
                <c:formatCode>"$"#,##0</c:formatCode>
                <c:ptCount val="4"/>
                <c:pt idx="0" formatCode="General">
                  <c:v>0</c:v>
                </c:pt>
                <c:pt idx="1">
                  <c:v>-43828.870434749755</c:v>
                </c:pt>
                <c:pt idx="2">
                  <c:v>340.17364679172169</c:v>
                </c:pt>
                <c:pt idx="3">
                  <c:v>310439.98206572304</c:v>
                </c:pt>
              </c:numCache>
            </c:numRef>
          </c:val>
          <c:extLst>
            <c:ext xmlns:c16="http://schemas.microsoft.com/office/drawing/2014/chart" uri="{C3380CC4-5D6E-409C-BE32-E72D297353CC}">
              <c16:uniqueId val="{00000005-FBA4-4CEB-889B-CC737A34814E}"/>
            </c:ext>
          </c:extLst>
        </c:ser>
        <c:dLbls>
          <c:showLegendKey val="0"/>
          <c:showVal val="0"/>
          <c:showCatName val="0"/>
          <c:showSerName val="0"/>
          <c:showPercent val="0"/>
          <c:showBubbleSize val="0"/>
        </c:dLbls>
        <c:gapWidth val="219"/>
        <c:overlap val="100"/>
        <c:axId val="1947818607"/>
        <c:axId val="1947813327"/>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'Neighborhood - TMY3'!$U$23:$X$23</c15:sqref>
                        </c15:formulaRef>
                      </c:ext>
                    </c:extLst>
                    <c:strCache>
                      <c:ptCount val="4"/>
                      <c:pt idx="0">
                        <c:v>Whole Neighborhood - Existing</c:v>
                      </c:pt>
                      <c:pt idx="1">
                        <c:v>Whole Neighborhood - Geo</c:v>
                      </c:pt>
                      <c:pt idx="2">
                        <c:v>Whole Neighborhood - Geo + Wx</c:v>
                      </c:pt>
                      <c:pt idx="3">
                        <c:v>Whole Neighborhood - Geo + PV + Wx</c:v>
                      </c:pt>
                    </c:strCache>
                  </c:strRef>
                </c:cat>
                <c:val>
                  <c:numRef>
                    <c:extLst>
                      <c:ext uri="{02D57815-91ED-43cb-92C2-25804820EDAC}">
                        <c15:formulaRef>
                          <c15:sqref>'Neighborhood - TMY3'!$C$44:$F$44</c15:sqref>
                        </c15:formulaRef>
                      </c:ext>
                    </c:extLst>
                    <c:numCache>
                      <c:formatCode>0.0%</c:formatCode>
                      <c:ptCount val="4"/>
                      <c:pt idx="0" formatCode="General">
                        <c:v>0</c:v>
                      </c:pt>
                      <c:pt idx="1">
                        <c:v>2.5710520002185877E-2</c:v>
                      </c:pt>
                      <c:pt idx="2">
                        <c:v>0.11821790300250867</c:v>
                      </c:pt>
                      <c:pt idx="3">
                        <c:v>0.76768909583108869</c:v>
                      </c:pt>
                    </c:numCache>
                  </c:numRef>
                </c:val>
                <c:extLst>
                  <c:ext xmlns:c16="http://schemas.microsoft.com/office/drawing/2014/chart" uri="{C3380CC4-5D6E-409C-BE32-E72D297353CC}">
                    <c16:uniqueId val="{00000006-FBA4-4CEB-889B-CC737A34814E}"/>
                  </c:ext>
                </c:extLst>
              </c15:ser>
            </c15:filteredBarSeries>
          </c:ext>
        </c:extLst>
      </c:barChart>
      <c:catAx>
        <c:axId val="19478186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47813327"/>
        <c:crosses val="autoZero"/>
        <c:auto val="1"/>
        <c:lblAlgn val="ctr"/>
        <c:lblOffset val="100"/>
        <c:noMultiLvlLbl val="0"/>
      </c:catAx>
      <c:valAx>
        <c:axId val="194781332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47818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Energy End</a:t>
            </a:r>
            <a:r>
              <a:rPr lang="en-US" baseline="0"/>
              <a:t> Use 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'DB-End Use'!$B$5</c:f>
              <c:strCache>
                <c:ptCount val="1"/>
                <c:pt idx="0">
                  <c:v>Lighting</c:v>
                </c:pt>
              </c:strCache>
            </c:strRef>
          </c:tx>
          <c:spPr>
            <a:solidFill>
              <a:schemeClr val="accent1"/>
            </a:solidFill>
            <a:ln>
              <a:noFill/>
            </a:ln>
            <a:effectLst/>
          </c:spPr>
          <c:invertIfNegative val="0"/>
          <c:cat>
            <c:strRef>
              <c:f>'DB-End Use'!$C$4:$N$4</c:f>
              <c:strCache>
                <c:ptCount val="9"/>
                <c:pt idx="0">
                  <c:v>Worst - Existing</c:v>
                </c:pt>
                <c:pt idx="1">
                  <c:v>Mid - Existing</c:v>
                </c:pt>
                <c:pt idx="2">
                  <c:v>Best - Existing</c:v>
                </c:pt>
                <c:pt idx="3">
                  <c:v>DOE Benchmark - Homes</c:v>
                </c:pt>
                <c:pt idx="4">
                  <c:v>Worst - Wx</c:v>
                </c:pt>
                <c:pt idx="5">
                  <c:v>Mid - Wx</c:v>
                </c:pt>
                <c:pt idx="6">
                  <c:v>Best - Wx</c:v>
                </c:pt>
                <c:pt idx="7">
                  <c:v>Worst - Geo</c:v>
                </c:pt>
                <c:pt idx="8">
                  <c:v>Mid - Geo</c:v>
                </c:pt>
              </c:strCache>
            </c:strRef>
          </c:cat>
          <c:val>
            <c:numRef>
              <c:f>'DB-End Use'!$C$5:$N$5</c:f>
              <c:numCache>
                <c:formatCode>0.0</c:formatCode>
                <c:ptCount val="9"/>
                <c:pt idx="0">
                  <c:v>2.8661500990950119</c:v>
                </c:pt>
                <c:pt idx="1">
                  <c:v>2.8661500990950119</c:v>
                </c:pt>
                <c:pt idx="2">
                  <c:v>2.8661500990950119</c:v>
                </c:pt>
                <c:pt idx="3">
                  <c:v>2.881939419436264</c:v>
                </c:pt>
                <c:pt idx="4">
                  <c:v>2.8661500990950119</c:v>
                </c:pt>
                <c:pt idx="5">
                  <c:v>2.8661500990950119</c:v>
                </c:pt>
                <c:pt idx="6">
                  <c:v>2.8661500990950119</c:v>
                </c:pt>
                <c:pt idx="7">
                  <c:v>2.8661500990950119</c:v>
                </c:pt>
                <c:pt idx="8">
                  <c:v>2.8661500990950119</c:v>
                </c:pt>
              </c:numCache>
            </c:numRef>
          </c:val>
          <c:extLst>
            <c:ext xmlns:c16="http://schemas.microsoft.com/office/drawing/2014/chart" uri="{C3380CC4-5D6E-409C-BE32-E72D297353CC}">
              <c16:uniqueId val="{00000000-0E21-4B93-B070-92640E65E7BE}"/>
            </c:ext>
          </c:extLst>
        </c:ser>
        <c:ser>
          <c:idx val="1"/>
          <c:order val="1"/>
          <c:tx>
            <c:strRef>
              <c:f>'DB-End Use'!$B$6</c:f>
              <c:strCache>
                <c:ptCount val="1"/>
                <c:pt idx="0">
                  <c:v>Heating</c:v>
                </c:pt>
              </c:strCache>
            </c:strRef>
          </c:tx>
          <c:spPr>
            <a:solidFill>
              <a:schemeClr val="accent2"/>
            </a:solidFill>
            <a:ln>
              <a:noFill/>
            </a:ln>
            <a:effectLst/>
          </c:spPr>
          <c:invertIfNegative val="0"/>
          <c:cat>
            <c:strRef>
              <c:f>'DB-End Use'!$C$4:$N$4</c:f>
              <c:strCache>
                <c:ptCount val="9"/>
                <c:pt idx="0">
                  <c:v>Worst - Existing</c:v>
                </c:pt>
                <c:pt idx="1">
                  <c:v>Mid - Existing</c:v>
                </c:pt>
                <c:pt idx="2">
                  <c:v>Best - Existing</c:v>
                </c:pt>
                <c:pt idx="3">
                  <c:v>DOE Benchmark - Homes</c:v>
                </c:pt>
                <c:pt idx="4">
                  <c:v>Worst - Wx</c:v>
                </c:pt>
                <c:pt idx="5">
                  <c:v>Mid - Wx</c:v>
                </c:pt>
                <c:pt idx="6">
                  <c:v>Best - Wx</c:v>
                </c:pt>
                <c:pt idx="7">
                  <c:v>Worst - Geo</c:v>
                </c:pt>
                <c:pt idx="8">
                  <c:v>Mid - Geo</c:v>
                </c:pt>
              </c:strCache>
            </c:strRef>
          </c:cat>
          <c:val>
            <c:numRef>
              <c:f>'DB-End Use'!$C$6:$N$6</c:f>
              <c:numCache>
                <c:formatCode>0.0</c:formatCode>
                <c:ptCount val="9"/>
                <c:pt idx="0">
                  <c:v>88.115188996871936</c:v>
                </c:pt>
                <c:pt idx="1">
                  <c:v>68.923565510160216</c:v>
                </c:pt>
                <c:pt idx="2">
                  <c:v>52.937391055182786</c:v>
                </c:pt>
                <c:pt idx="3">
                  <c:v>59.533962978544388</c:v>
                </c:pt>
                <c:pt idx="4">
                  <c:v>69.606389837388662</c:v>
                </c:pt>
                <c:pt idx="5">
                  <c:v>60.881324768977294</c:v>
                </c:pt>
                <c:pt idx="6">
                  <c:v>52.937391055182786</c:v>
                </c:pt>
                <c:pt idx="7">
                  <c:v>18.700768881778455</c:v>
                </c:pt>
                <c:pt idx="8">
                  <c:v>14.143377349029345</c:v>
                </c:pt>
              </c:numCache>
            </c:numRef>
          </c:val>
          <c:extLst>
            <c:ext xmlns:c16="http://schemas.microsoft.com/office/drawing/2014/chart" uri="{C3380CC4-5D6E-409C-BE32-E72D297353CC}">
              <c16:uniqueId val="{00000001-0E21-4B93-B070-92640E65E7BE}"/>
            </c:ext>
          </c:extLst>
        </c:ser>
        <c:ser>
          <c:idx val="2"/>
          <c:order val="2"/>
          <c:tx>
            <c:strRef>
              <c:f>'DB-End Use'!$B$7</c:f>
              <c:strCache>
                <c:ptCount val="1"/>
                <c:pt idx="0">
                  <c:v>Cooling</c:v>
                </c:pt>
              </c:strCache>
            </c:strRef>
          </c:tx>
          <c:spPr>
            <a:solidFill>
              <a:schemeClr val="accent3"/>
            </a:solidFill>
            <a:ln>
              <a:noFill/>
            </a:ln>
            <a:effectLst/>
          </c:spPr>
          <c:invertIfNegative val="0"/>
          <c:cat>
            <c:strRef>
              <c:f>'DB-End Use'!$C$4:$N$4</c:f>
              <c:strCache>
                <c:ptCount val="9"/>
                <c:pt idx="0">
                  <c:v>Worst - Existing</c:v>
                </c:pt>
                <c:pt idx="1">
                  <c:v>Mid - Existing</c:v>
                </c:pt>
                <c:pt idx="2">
                  <c:v>Best - Existing</c:v>
                </c:pt>
                <c:pt idx="3">
                  <c:v>DOE Benchmark - Homes</c:v>
                </c:pt>
                <c:pt idx="4">
                  <c:v>Worst - Wx</c:v>
                </c:pt>
                <c:pt idx="5">
                  <c:v>Mid - Wx</c:v>
                </c:pt>
                <c:pt idx="6">
                  <c:v>Best - Wx</c:v>
                </c:pt>
                <c:pt idx="7">
                  <c:v>Worst - Geo</c:v>
                </c:pt>
                <c:pt idx="8">
                  <c:v>Mid - Geo</c:v>
                </c:pt>
              </c:strCache>
            </c:strRef>
          </c:cat>
          <c:val>
            <c:numRef>
              <c:f>'DB-End Use'!$C$7:$N$7</c:f>
              <c:numCache>
                <c:formatCode>0.0</c:formatCode>
                <c:ptCount val="9"/>
                <c:pt idx="0">
                  <c:v>9.9073521335275441</c:v>
                </c:pt>
                <c:pt idx="1">
                  <c:v>6.3249600038205305</c:v>
                </c:pt>
                <c:pt idx="2">
                  <c:v>5.0143866854509413</c:v>
                </c:pt>
                <c:pt idx="3">
                  <c:v>1.9428355069415228</c:v>
                </c:pt>
                <c:pt idx="4">
                  <c:v>9.0507414217149407</c:v>
                </c:pt>
                <c:pt idx="5">
                  <c:v>6.1511019842880676</c:v>
                </c:pt>
                <c:pt idx="6">
                  <c:v>5.0143866854509413</c:v>
                </c:pt>
                <c:pt idx="7">
                  <c:v>4.5395663697796031</c:v>
                </c:pt>
                <c:pt idx="8">
                  <c:v>2.7950404737457917</c:v>
                </c:pt>
              </c:numCache>
            </c:numRef>
          </c:val>
          <c:extLst>
            <c:ext xmlns:c16="http://schemas.microsoft.com/office/drawing/2014/chart" uri="{C3380CC4-5D6E-409C-BE32-E72D297353CC}">
              <c16:uniqueId val="{00000002-0E21-4B93-B070-92640E65E7BE}"/>
            </c:ext>
          </c:extLst>
        </c:ser>
        <c:ser>
          <c:idx val="3"/>
          <c:order val="3"/>
          <c:tx>
            <c:strRef>
              <c:f>'DB-End Use'!$B$8</c:f>
              <c:strCache>
                <c:ptCount val="1"/>
                <c:pt idx="0">
                  <c:v>Pumps</c:v>
                </c:pt>
              </c:strCache>
            </c:strRef>
          </c:tx>
          <c:spPr>
            <a:solidFill>
              <a:schemeClr val="accent4"/>
            </a:solidFill>
            <a:ln>
              <a:noFill/>
            </a:ln>
            <a:effectLst/>
          </c:spPr>
          <c:invertIfNegative val="0"/>
          <c:cat>
            <c:strRef>
              <c:f>'DB-End Use'!$C$4:$N$4</c:f>
              <c:strCache>
                <c:ptCount val="9"/>
                <c:pt idx="0">
                  <c:v>Worst - Existing</c:v>
                </c:pt>
                <c:pt idx="1">
                  <c:v>Mid - Existing</c:v>
                </c:pt>
                <c:pt idx="2">
                  <c:v>Best - Existing</c:v>
                </c:pt>
                <c:pt idx="3">
                  <c:v>DOE Benchmark - Homes</c:v>
                </c:pt>
                <c:pt idx="4">
                  <c:v>Worst - Wx</c:v>
                </c:pt>
                <c:pt idx="5">
                  <c:v>Mid - Wx</c:v>
                </c:pt>
                <c:pt idx="6">
                  <c:v>Best - Wx</c:v>
                </c:pt>
                <c:pt idx="7">
                  <c:v>Worst - Geo</c:v>
                </c:pt>
                <c:pt idx="8">
                  <c:v>Mid - Geo</c:v>
                </c:pt>
              </c:strCache>
            </c:strRef>
          </c:cat>
          <c:val>
            <c:numRef>
              <c:f>'DB-End Use'!$C$8:$N$8</c:f>
              <c:numCache>
                <c:formatCode>0.0</c:formatCode>
                <c:ptCount val="9"/>
                <c:pt idx="0">
                  <c:v>1.1222808567539816E-3</c:v>
                </c:pt>
                <c:pt idx="1">
                  <c:v>9.3125432794479335E-4</c:v>
                </c:pt>
                <c:pt idx="2">
                  <c:v>8.2380190548962478E-4</c:v>
                </c:pt>
                <c:pt idx="3">
                  <c:v>0</c:v>
                </c:pt>
                <c:pt idx="4">
                  <c:v>1.1222808567539816E-3</c:v>
                </c:pt>
                <c:pt idx="5">
                  <c:v>9.3125432794479335E-4</c:v>
                </c:pt>
                <c:pt idx="6">
                  <c:v>8.2380190548962478E-4</c:v>
                </c:pt>
                <c:pt idx="7">
                  <c:v>0.34387163017264016</c:v>
                </c:pt>
                <c:pt idx="8">
                  <c:v>0.2645717424007259</c:v>
                </c:pt>
              </c:numCache>
            </c:numRef>
          </c:val>
          <c:extLst>
            <c:ext xmlns:c16="http://schemas.microsoft.com/office/drawing/2014/chart" uri="{C3380CC4-5D6E-409C-BE32-E72D297353CC}">
              <c16:uniqueId val="{00000003-0E21-4B93-B070-92640E65E7BE}"/>
            </c:ext>
          </c:extLst>
        </c:ser>
        <c:ser>
          <c:idx val="4"/>
          <c:order val="4"/>
          <c:tx>
            <c:strRef>
              <c:f>'DB-End Use'!$B$9</c:f>
              <c:strCache>
                <c:ptCount val="1"/>
                <c:pt idx="0">
                  <c:v>Fans</c:v>
                </c:pt>
              </c:strCache>
            </c:strRef>
          </c:tx>
          <c:spPr>
            <a:solidFill>
              <a:schemeClr val="accent5"/>
            </a:solidFill>
            <a:ln>
              <a:noFill/>
            </a:ln>
            <a:effectLst/>
          </c:spPr>
          <c:invertIfNegative val="0"/>
          <c:cat>
            <c:strRef>
              <c:f>'DB-End Use'!$C$4:$N$4</c:f>
              <c:strCache>
                <c:ptCount val="9"/>
                <c:pt idx="0">
                  <c:v>Worst - Existing</c:v>
                </c:pt>
                <c:pt idx="1">
                  <c:v>Mid - Existing</c:v>
                </c:pt>
                <c:pt idx="2">
                  <c:v>Best - Existing</c:v>
                </c:pt>
                <c:pt idx="3">
                  <c:v>DOE Benchmark - Homes</c:v>
                </c:pt>
                <c:pt idx="4">
                  <c:v>Worst - Wx</c:v>
                </c:pt>
                <c:pt idx="5">
                  <c:v>Mid - Wx</c:v>
                </c:pt>
                <c:pt idx="6">
                  <c:v>Best - Wx</c:v>
                </c:pt>
                <c:pt idx="7">
                  <c:v>Worst - Geo</c:v>
                </c:pt>
                <c:pt idx="8">
                  <c:v>Mid - Geo</c:v>
                </c:pt>
              </c:strCache>
            </c:strRef>
          </c:cat>
          <c:val>
            <c:numRef>
              <c:f>'DB-End Use'!$C$9:$N$9</c:f>
              <c:numCache>
                <c:formatCode>0.0</c:formatCode>
                <c:ptCount val="9"/>
                <c:pt idx="0">
                  <c:v>8.9136321306621458</c:v>
                </c:pt>
                <c:pt idx="1">
                  <c:v>6.975823204947587</c:v>
                </c:pt>
                <c:pt idx="2">
                  <c:v>4.9633826022588883</c:v>
                </c:pt>
                <c:pt idx="3">
                  <c:v>2.5471939419436267</c:v>
                </c:pt>
                <c:pt idx="4">
                  <c:v>7.1969602903603231</c:v>
                </c:pt>
                <c:pt idx="5">
                  <c:v>6.2174837030492611</c:v>
                </c:pt>
                <c:pt idx="6">
                  <c:v>4.9633826022588883</c:v>
                </c:pt>
                <c:pt idx="7">
                  <c:v>2.9604097519042956</c:v>
                </c:pt>
                <c:pt idx="8">
                  <c:v>2.5669428591895698</c:v>
                </c:pt>
              </c:numCache>
            </c:numRef>
          </c:val>
          <c:extLst>
            <c:ext xmlns:c16="http://schemas.microsoft.com/office/drawing/2014/chart" uri="{C3380CC4-5D6E-409C-BE32-E72D297353CC}">
              <c16:uniqueId val="{00000004-0E21-4B93-B070-92640E65E7BE}"/>
            </c:ext>
          </c:extLst>
        </c:ser>
        <c:ser>
          <c:idx val="5"/>
          <c:order val="5"/>
          <c:tx>
            <c:strRef>
              <c:f>'DB-End Use'!$B$10</c:f>
              <c:strCache>
                <c:ptCount val="1"/>
                <c:pt idx="0">
                  <c:v>Receptacles</c:v>
                </c:pt>
              </c:strCache>
            </c:strRef>
          </c:tx>
          <c:spPr>
            <a:solidFill>
              <a:schemeClr val="accent6"/>
            </a:solidFill>
            <a:ln>
              <a:noFill/>
            </a:ln>
            <a:effectLst/>
          </c:spPr>
          <c:invertIfNegative val="0"/>
          <c:cat>
            <c:strRef>
              <c:f>'DB-End Use'!$C$4:$N$4</c:f>
              <c:strCache>
                <c:ptCount val="9"/>
                <c:pt idx="0">
                  <c:v>Worst - Existing</c:v>
                </c:pt>
                <c:pt idx="1">
                  <c:v>Mid - Existing</c:v>
                </c:pt>
                <c:pt idx="2">
                  <c:v>Best - Existing</c:v>
                </c:pt>
                <c:pt idx="3">
                  <c:v>DOE Benchmark - Homes</c:v>
                </c:pt>
                <c:pt idx="4">
                  <c:v>Worst - Wx</c:v>
                </c:pt>
                <c:pt idx="5">
                  <c:v>Mid - Wx</c:v>
                </c:pt>
                <c:pt idx="6">
                  <c:v>Best - Wx</c:v>
                </c:pt>
                <c:pt idx="7">
                  <c:v>Worst - Geo</c:v>
                </c:pt>
                <c:pt idx="8">
                  <c:v>Mid - Geo</c:v>
                </c:pt>
              </c:strCache>
            </c:strRef>
          </c:cat>
          <c:val>
            <c:numRef>
              <c:f>'DB-End Use'!$C$10:$N$10</c:f>
              <c:numCache>
                <c:formatCode>0.0</c:formatCode>
                <c:ptCount val="9"/>
                <c:pt idx="0">
                  <c:v>10.878924998209127</c:v>
                </c:pt>
                <c:pt idx="1">
                  <c:v>9.6701568805367835</c:v>
                </c:pt>
                <c:pt idx="2">
                  <c:v>8.4613887628644431</c:v>
                </c:pt>
                <c:pt idx="3">
                  <c:v>14.756933108960874</c:v>
                </c:pt>
                <c:pt idx="4">
                  <c:v>10.878924998209127</c:v>
                </c:pt>
                <c:pt idx="5">
                  <c:v>9.6701568805367835</c:v>
                </c:pt>
                <c:pt idx="6">
                  <c:v>8.4613887628644431</c:v>
                </c:pt>
                <c:pt idx="7">
                  <c:v>10.878924998209127</c:v>
                </c:pt>
                <c:pt idx="8">
                  <c:v>9.6701568805367835</c:v>
                </c:pt>
              </c:numCache>
            </c:numRef>
          </c:val>
          <c:extLst>
            <c:ext xmlns:c16="http://schemas.microsoft.com/office/drawing/2014/chart" uri="{C3380CC4-5D6E-409C-BE32-E72D297353CC}">
              <c16:uniqueId val="{00000005-0E21-4B93-B070-92640E65E7BE}"/>
            </c:ext>
          </c:extLst>
        </c:ser>
        <c:ser>
          <c:idx val="6"/>
          <c:order val="6"/>
          <c:tx>
            <c:strRef>
              <c:f>'DB-End Use'!$B$11</c:f>
              <c:strCache>
                <c:ptCount val="1"/>
                <c:pt idx="0">
                  <c:v>DHW</c:v>
                </c:pt>
              </c:strCache>
            </c:strRef>
          </c:tx>
          <c:spPr>
            <a:solidFill>
              <a:schemeClr val="accent1">
                <a:lumMod val="60000"/>
              </a:schemeClr>
            </a:solidFill>
            <a:ln>
              <a:noFill/>
            </a:ln>
            <a:effectLst/>
          </c:spPr>
          <c:invertIfNegative val="0"/>
          <c:cat>
            <c:strRef>
              <c:f>'DB-End Use'!$C$4:$N$4</c:f>
              <c:strCache>
                <c:ptCount val="9"/>
                <c:pt idx="0">
                  <c:v>Worst - Existing</c:v>
                </c:pt>
                <c:pt idx="1">
                  <c:v>Mid - Existing</c:v>
                </c:pt>
                <c:pt idx="2">
                  <c:v>Best - Existing</c:v>
                </c:pt>
                <c:pt idx="3">
                  <c:v>DOE Benchmark - Homes</c:v>
                </c:pt>
                <c:pt idx="4">
                  <c:v>Worst - Wx</c:v>
                </c:pt>
                <c:pt idx="5">
                  <c:v>Mid - Wx</c:v>
                </c:pt>
                <c:pt idx="6">
                  <c:v>Best - Wx</c:v>
                </c:pt>
                <c:pt idx="7">
                  <c:v>Worst - Geo</c:v>
                </c:pt>
                <c:pt idx="8">
                  <c:v>Mid - Geo</c:v>
                </c:pt>
              </c:strCache>
            </c:strRef>
          </c:cat>
          <c:val>
            <c:numRef>
              <c:f>'DB-End Use'!$C$11:$N$11</c:f>
              <c:numCache>
                <c:formatCode>0.0</c:formatCode>
                <c:ptCount val="9"/>
                <c:pt idx="0">
                  <c:v>9.4609231357004688</c:v>
                </c:pt>
                <c:pt idx="1">
                  <c:v>7.8836648439552039</c:v>
                </c:pt>
                <c:pt idx="2">
                  <c:v>6.9372239069700798</c:v>
                </c:pt>
                <c:pt idx="3">
                  <c:v>8.6546739587715606</c:v>
                </c:pt>
                <c:pt idx="4">
                  <c:v>9.4599918813725257</c:v>
                </c:pt>
                <c:pt idx="5">
                  <c:v>7.8833305475297877</c:v>
                </c:pt>
                <c:pt idx="6">
                  <c:v>6.9372239069700798</c:v>
                </c:pt>
                <c:pt idx="7">
                  <c:v>9.4638840468970127</c:v>
                </c:pt>
                <c:pt idx="8">
                  <c:v>7.8839394445903679</c:v>
                </c:pt>
              </c:numCache>
            </c:numRef>
          </c:val>
          <c:extLst>
            <c:ext xmlns:c16="http://schemas.microsoft.com/office/drawing/2014/chart" uri="{C3380CC4-5D6E-409C-BE32-E72D297353CC}">
              <c16:uniqueId val="{00000006-0E21-4B93-B070-92640E65E7BE}"/>
            </c:ext>
          </c:extLst>
        </c:ser>
        <c:ser>
          <c:idx val="7"/>
          <c:order val="7"/>
          <c:tx>
            <c:strRef>
              <c:f>'DB-End Use'!$B$12</c:f>
              <c:strCache>
                <c:ptCount val="1"/>
                <c:pt idx="0">
                  <c:v>Savings </c:v>
                </c:pt>
              </c:strCache>
            </c:strRef>
          </c:tx>
          <c:spPr>
            <a:pattFill prst="ltUpDiag">
              <a:fgClr>
                <a:schemeClr val="accent3"/>
              </a:fgClr>
              <a:bgClr>
                <a:schemeClr val="bg1"/>
              </a:bgClr>
            </a:pattFill>
            <a:ln>
              <a:noFill/>
            </a:ln>
            <a:effectLst/>
          </c:spPr>
          <c:invertIfNegative val="0"/>
          <c:dLbls>
            <c:dLbl>
              <c:idx val="0"/>
              <c:tx>
                <c:rich>
                  <a:bodyPr/>
                  <a:lstStyle/>
                  <a:p>
                    <a:fld id="{B2F708BF-DA48-4021-ACD3-EDAC47FC3D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E21-4B93-B070-92640E65E7BE}"/>
                </c:ext>
              </c:extLst>
            </c:dLbl>
            <c:dLbl>
              <c:idx val="1"/>
              <c:tx>
                <c:rich>
                  <a:bodyPr/>
                  <a:lstStyle/>
                  <a:p>
                    <a:fld id="{F854C257-8339-492A-8825-2537F71079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E21-4B93-B070-92640E65E7BE}"/>
                </c:ext>
              </c:extLst>
            </c:dLbl>
            <c:dLbl>
              <c:idx val="2"/>
              <c:tx>
                <c:rich>
                  <a:bodyPr/>
                  <a:lstStyle/>
                  <a:p>
                    <a:fld id="{922F28A0-8207-4268-9DFE-4859510C4D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E21-4B93-B070-92640E65E7BE}"/>
                </c:ext>
              </c:extLst>
            </c:dLbl>
            <c:dLbl>
              <c:idx val="3"/>
              <c:tx>
                <c:rich>
                  <a:bodyPr/>
                  <a:lstStyle/>
                  <a:p>
                    <a:fld id="{985BE2E1-EFD4-4BCD-81DA-472AF72083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E21-4B93-B070-92640E65E7BE}"/>
                </c:ext>
              </c:extLst>
            </c:dLbl>
            <c:dLbl>
              <c:idx val="4"/>
              <c:tx>
                <c:rich>
                  <a:bodyPr/>
                  <a:lstStyle/>
                  <a:p>
                    <a:fld id="{323468F8-B6E2-48E4-B572-6122ECF33E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E21-4B93-B070-92640E65E7BE}"/>
                </c:ext>
              </c:extLst>
            </c:dLbl>
            <c:dLbl>
              <c:idx val="5"/>
              <c:tx>
                <c:rich>
                  <a:bodyPr/>
                  <a:lstStyle/>
                  <a:p>
                    <a:fld id="{B7B9CDAB-C753-45BF-94E1-06C5B541D4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E21-4B93-B070-92640E65E7BE}"/>
                </c:ext>
              </c:extLst>
            </c:dLbl>
            <c:dLbl>
              <c:idx val="6"/>
              <c:tx>
                <c:rich>
                  <a:bodyPr/>
                  <a:lstStyle/>
                  <a:p>
                    <a:fld id="{21E9524C-3E85-49F3-9AE6-55E51FCAB4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E21-4B93-B070-92640E65E7BE}"/>
                </c:ext>
              </c:extLst>
            </c:dLbl>
            <c:dLbl>
              <c:idx val="7"/>
              <c:tx>
                <c:rich>
                  <a:bodyPr/>
                  <a:lstStyle/>
                  <a:p>
                    <a:fld id="{1F26C8EE-6B29-411B-8BEA-B67D959395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E21-4B93-B070-92640E65E7BE}"/>
                </c:ext>
              </c:extLst>
            </c:dLbl>
            <c:dLbl>
              <c:idx val="8"/>
              <c:tx>
                <c:rich>
                  <a:bodyPr/>
                  <a:lstStyle/>
                  <a:p>
                    <a:fld id="{DF3617C3-BCE9-48B6-B404-25BCC94B01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E21-4B93-B070-92640E65E7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'DB-End Use'!$C$4:$N$4</c:f>
              <c:strCache>
                <c:ptCount val="9"/>
                <c:pt idx="0">
                  <c:v>Worst - Existing</c:v>
                </c:pt>
                <c:pt idx="1">
                  <c:v>Mid - Existing</c:v>
                </c:pt>
                <c:pt idx="2">
                  <c:v>Best - Existing</c:v>
                </c:pt>
                <c:pt idx="3">
                  <c:v>DOE Benchmark - Homes</c:v>
                </c:pt>
                <c:pt idx="4">
                  <c:v>Worst - Wx</c:v>
                </c:pt>
                <c:pt idx="5">
                  <c:v>Mid - Wx</c:v>
                </c:pt>
                <c:pt idx="6">
                  <c:v>Best - Wx</c:v>
                </c:pt>
                <c:pt idx="7">
                  <c:v>Worst - Geo</c:v>
                </c:pt>
                <c:pt idx="8">
                  <c:v>Mid - Geo</c:v>
                </c:pt>
              </c:strCache>
            </c:strRef>
          </c:cat>
          <c:val>
            <c:numRef>
              <c:f>'DB-End Use'!$C$12:$N$12</c:f>
              <c:numCache>
                <c:formatCode>0.0</c:formatCode>
                <c:ptCount val="9"/>
                <c:pt idx="0" formatCode="_(* #,##0.0_);_(* \(#,##0.0\);_(* &quot;-&quot;?_);_(@_)">
                  <c:v>0</c:v>
                </c:pt>
                <c:pt idx="1">
                  <c:v>27.498041978079726</c:v>
                </c:pt>
                <c:pt idx="2">
                  <c:v>48.962546861195364</c:v>
                </c:pt>
                <c:pt idx="3">
                  <c:v>39.825754860324736</c:v>
                </c:pt>
                <c:pt idx="4">
                  <c:v>21.083012965925647</c:v>
                </c:pt>
                <c:pt idx="5">
                  <c:v>36.472814537118865</c:v>
                </c:pt>
                <c:pt idx="6">
                  <c:v>48.962546861195364</c:v>
                </c:pt>
                <c:pt idx="7">
                  <c:v>80.389717997086848</c:v>
                </c:pt>
                <c:pt idx="8">
                  <c:v>89.953114926335402</c:v>
                </c:pt>
              </c:numCache>
            </c:numRef>
          </c:val>
          <c:extLst>
            <c:ext xmlns:c15="http://schemas.microsoft.com/office/drawing/2012/chart" uri="{02D57815-91ED-43cb-92C2-25804820EDAC}">
              <c15:datalabelsRange>
                <c15:f>'DB-End Use'!$C$16:$N$16</c15:f>
                <c15:dlblRangeCache>
                  <c:ptCount val="9"/>
                  <c:pt idx="1">
                    <c:v>Energy Savings: 21%</c:v>
                  </c:pt>
                  <c:pt idx="2">
                    <c:v>Energy Savings: 38%</c:v>
                  </c:pt>
                  <c:pt idx="3">
                    <c:v>Energy Savings: 31%</c:v>
                  </c:pt>
                  <c:pt idx="4">
                    <c:v>Energy Savings: 16%</c:v>
                  </c:pt>
                  <c:pt idx="5">
                    <c:v>Energy Savings: 28%</c:v>
                  </c:pt>
                  <c:pt idx="6">
                    <c:v>Energy Savings: 38%</c:v>
                  </c:pt>
                  <c:pt idx="7">
                    <c:v>Energy Savings: 62%</c:v>
                  </c:pt>
                  <c:pt idx="8">
                    <c:v>Energy Savings: 69%</c:v>
                  </c:pt>
                </c15:dlblRangeCache>
              </c15:datalabelsRange>
            </c:ext>
            <c:ext xmlns:c16="http://schemas.microsoft.com/office/drawing/2014/chart" uri="{C3380CC4-5D6E-409C-BE32-E72D297353CC}">
              <c16:uniqueId val="{0000000A-0E21-4B93-B070-92640E65E7BE}"/>
            </c:ext>
          </c:extLst>
        </c:ser>
        <c:dLbls>
          <c:showLegendKey val="0"/>
          <c:showVal val="0"/>
          <c:showCatName val="0"/>
          <c:showSerName val="0"/>
          <c:showPercent val="0"/>
          <c:showBubbleSize val="0"/>
        </c:dLbls>
        <c:gapWidth val="150"/>
        <c:overlap val="100"/>
        <c:axId val="1219553984"/>
        <c:axId val="1219555952"/>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Energy Use Intensity (kBtu/ft</a:t>
                </a:r>
                <a:r>
                  <a:rPr lang="en-US" baseline="30000"/>
                  <a:t>2</a:t>
                </a:r>
                <a:r>
                  <a:rPr lang="en-US"/>
                  <a:t>/yr)</a:t>
                </a:r>
              </a:p>
            </c:rich>
          </c:tx>
          <c:layout>
            <c:manualLayout>
              <c:xMode val="edge"/>
              <c:yMode val="edge"/>
              <c:x val="5.4158596352143373E-2"/>
              <c:y val="0.172719945439890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Energy Cost </a:t>
            </a:r>
            <a:r>
              <a:rPr lang="en-US" baseline="0"/>
              <a:t>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'DB-End Use'!$B$19</c:f>
              <c:strCache>
                <c:ptCount val="1"/>
                <c:pt idx="0">
                  <c:v>Lighting</c:v>
                </c:pt>
              </c:strCache>
            </c:strRef>
          </c:tx>
          <c:spPr>
            <a:solidFill>
              <a:schemeClr val="accent1"/>
            </a:solidFill>
            <a:ln>
              <a:noFill/>
            </a:ln>
            <a:effectLst/>
          </c:spPr>
          <c:invertIfNegative val="0"/>
          <c:cat>
            <c:strRef>
              <c:f>'DB-End Use'!$C$4:$N$4</c:f>
              <c:strCache>
                <c:ptCount val="9"/>
                <c:pt idx="0">
                  <c:v>Worst - Existing</c:v>
                </c:pt>
                <c:pt idx="1">
                  <c:v>Mid - Existing</c:v>
                </c:pt>
                <c:pt idx="2">
                  <c:v>Best - Existing</c:v>
                </c:pt>
                <c:pt idx="3">
                  <c:v>DOE Benchmark - Homes</c:v>
                </c:pt>
                <c:pt idx="4">
                  <c:v>Worst - Wx</c:v>
                </c:pt>
                <c:pt idx="5">
                  <c:v>Mid - Wx</c:v>
                </c:pt>
                <c:pt idx="6">
                  <c:v>Best - Wx</c:v>
                </c:pt>
                <c:pt idx="7">
                  <c:v>Worst - Geo</c:v>
                </c:pt>
                <c:pt idx="8">
                  <c:v>Mid - Geo</c:v>
                </c:pt>
              </c:strCache>
            </c:strRef>
          </c:cat>
          <c:val>
            <c:numRef>
              <c:f>'DB-End Use'!$C$19:$N$19</c:f>
              <c:numCache>
                <c:formatCode>_("$"* #,##0_);_("$"* \(#,##0\);_("$"* "-"??_);_(@_)</c:formatCode>
                <c:ptCount val="9"/>
                <c:pt idx="0">
                  <c:v>138.06258623718887</c:v>
                </c:pt>
                <c:pt idx="1">
                  <c:v>138.06258623718887</c:v>
                </c:pt>
                <c:pt idx="2">
                  <c:v>138.06258623718887</c:v>
                </c:pt>
                <c:pt idx="3">
                  <c:v>0</c:v>
                </c:pt>
                <c:pt idx="4">
                  <c:v>138.06258623718887</c:v>
                </c:pt>
                <c:pt idx="5">
                  <c:v>138.06258623718887</c:v>
                </c:pt>
                <c:pt idx="6">
                  <c:v>138.06258623718887</c:v>
                </c:pt>
                <c:pt idx="7">
                  <c:v>138.06258623718887</c:v>
                </c:pt>
                <c:pt idx="8">
                  <c:v>138.06258623718887</c:v>
                </c:pt>
              </c:numCache>
            </c:numRef>
          </c:val>
          <c:extLst>
            <c:ext xmlns:c16="http://schemas.microsoft.com/office/drawing/2014/chart" uri="{C3380CC4-5D6E-409C-BE32-E72D297353CC}">
              <c16:uniqueId val="{00000000-4055-44BA-BA73-FBE1D7C2F23C}"/>
            </c:ext>
          </c:extLst>
        </c:ser>
        <c:ser>
          <c:idx val="1"/>
          <c:order val="1"/>
          <c:tx>
            <c:strRef>
              <c:f>'DB-End Use'!$B$20</c:f>
              <c:strCache>
                <c:ptCount val="1"/>
                <c:pt idx="0">
                  <c:v>Heating</c:v>
                </c:pt>
              </c:strCache>
            </c:strRef>
          </c:tx>
          <c:spPr>
            <a:solidFill>
              <a:schemeClr val="accent2"/>
            </a:solidFill>
            <a:ln>
              <a:noFill/>
            </a:ln>
            <a:effectLst/>
          </c:spPr>
          <c:invertIfNegative val="0"/>
          <c:cat>
            <c:strRef>
              <c:f>'DB-End Use'!$C$4:$N$4</c:f>
              <c:strCache>
                <c:ptCount val="9"/>
                <c:pt idx="0">
                  <c:v>Worst - Existing</c:v>
                </c:pt>
                <c:pt idx="1">
                  <c:v>Mid - Existing</c:v>
                </c:pt>
                <c:pt idx="2">
                  <c:v>Best - Existing</c:v>
                </c:pt>
                <c:pt idx="3">
                  <c:v>DOE Benchmark - Homes</c:v>
                </c:pt>
                <c:pt idx="4">
                  <c:v>Worst - Wx</c:v>
                </c:pt>
                <c:pt idx="5">
                  <c:v>Mid - Wx</c:v>
                </c:pt>
                <c:pt idx="6">
                  <c:v>Best - Wx</c:v>
                </c:pt>
                <c:pt idx="7">
                  <c:v>Worst - Geo</c:v>
                </c:pt>
                <c:pt idx="8">
                  <c:v>Mid - Geo</c:v>
                </c:pt>
              </c:strCache>
            </c:strRef>
          </c:cat>
          <c:val>
            <c:numRef>
              <c:f>'DB-End Use'!$C$20:$N$20</c:f>
              <c:numCache>
                <c:formatCode>_("$"* #,##0_);_("$"* \(#,##0\);_("$"* "-"??_);_(@_)</c:formatCode>
                <c:ptCount val="9"/>
                <c:pt idx="0">
                  <c:v>583.03358766859344</c:v>
                </c:pt>
                <c:pt idx="1">
                  <c:v>456.0479768786127</c:v>
                </c:pt>
                <c:pt idx="2">
                  <c:v>350.27192678227362</c:v>
                </c:pt>
                <c:pt idx="3">
                  <c:v>0</c:v>
                </c:pt>
                <c:pt idx="4">
                  <c:v>460.5660346820809</c:v>
                </c:pt>
                <c:pt idx="5">
                  <c:v>402.83471676300582</c:v>
                </c:pt>
                <c:pt idx="6">
                  <c:v>350.27192678227362</c:v>
                </c:pt>
                <c:pt idx="7">
                  <c:v>900.81692415812574</c:v>
                </c:pt>
                <c:pt idx="8">
                  <c:v>681.28715783308917</c:v>
                </c:pt>
              </c:numCache>
            </c:numRef>
          </c:val>
          <c:extLst>
            <c:ext xmlns:c16="http://schemas.microsoft.com/office/drawing/2014/chart" uri="{C3380CC4-5D6E-409C-BE32-E72D297353CC}">
              <c16:uniqueId val="{00000001-4055-44BA-BA73-FBE1D7C2F23C}"/>
            </c:ext>
          </c:extLst>
        </c:ser>
        <c:ser>
          <c:idx val="2"/>
          <c:order val="2"/>
          <c:tx>
            <c:strRef>
              <c:f>'DB-End Use'!$B$21</c:f>
              <c:strCache>
                <c:ptCount val="1"/>
                <c:pt idx="0">
                  <c:v>Cooling</c:v>
                </c:pt>
              </c:strCache>
            </c:strRef>
          </c:tx>
          <c:spPr>
            <a:solidFill>
              <a:schemeClr val="accent3"/>
            </a:solidFill>
            <a:ln>
              <a:noFill/>
            </a:ln>
            <a:effectLst/>
          </c:spPr>
          <c:invertIfNegative val="0"/>
          <c:cat>
            <c:strRef>
              <c:f>'DB-End Use'!$C$4:$N$4</c:f>
              <c:strCache>
                <c:ptCount val="9"/>
                <c:pt idx="0">
                  <c:v>Worst - Existing</c:v>
                </c:pt>
                <c:pt idx="1">
                  <c:v>Mid - Existing</c:v>
                </c:pt>
                <c:pt idx="2">
                  <c:v>Best - Existing</c:v>
                </c:pt>
                <c:pt idx="3">
                  <c:v>DOE Benchmark - Homes</c:v>
                </c:pt>
                <c:pt idx="4">
                  <c:v>Worst - Wx</c:v>
                </c:pt>
                <c:pt idx="5">
                  <c:v>Mid - Wx</c:v>
                </c:pt>
                <c:pt idx="6">
                  <c:v>Best - Wx</c:v>
                </c:pt>
                <c:pt idx="7">
                  <c:v>Worst - Geo</c:v>
                </c:pt>
                <c:pt idx="8">
                  <c:v>Mid - Geo</c:v>
                </c:pt>
              </c:strCache>
            </c:strRef>
          </c:cat>
          <c:val>
            <c:numRef>
              <c:f>'DB-End Use'!$C$21:$N$21</c:f>
              <c:numCache>
                <c:formatCode>_("$"* #,##0_);_("$"* \(#,##0\);_("$"* "-"??_);_(@_)</c:formatCode>
                <c:ptCount val="9"/>
                <c:pt idx="0">
                  <c:v>477.23762225475843</c:v>
                </c:pt>
                <c:pt idx="1">
                  <c:v>304.67362342606145</c:v>
                </c:pt>
                <c:pt idx="2">
                  <c:v>241.5432445095168</c:v>
                </c:pt>
                <c:pt idx="3">
                  <c:v>0</c:v>
                </c:pt>
                <c:pt idx="4">
                  <c:v>435.9746436310395</c:v>
                </c:pt>
                <c:pt idx="5">
                  <c:v>296.29887437774522</c:v>
                </c:pt>
                <c:pt idx="6">
                  <c:v>241.5432445095168</c:v>
                </c:pt>
                <c:pt idx="7">
                  <c:v>218.67112737920934</c:v>
                </c:pt>
                <c:pt idx="8">
                  <c:v>134.63723221083455</c:v>
                </c:pt>
              </c:numCache>
            </c:numRef>
          </c:val>
          <c:extLst>
            <c:ext xmlns:c16="http://schemas.microsoft.com/office/drawing/2014/chart" uri="{C3380CC4-5D6E-409C-BE32-E72D297353CC}">
              <c16:uniqueId val="{00000002-4055-44BA-BA73-FBE1D7C2F23C}"/>
            </c:ext>
          </c:extLst>
        </c:ser>
        <c:ser>
          <c:idx val="3"/>
          <c:order val="3"/>
          <c:tx>
            <c:strRef>
              <c:f>'DB-End Use'!$B$22</c:f>
              <c:strCache>
                <c:ptCount val="1"/>
                <c:pt idx="0">
                  <c:v>Pumps</c:v>
                </c:pt>
              </c:strCache>
            </c:strRef>
          </c:tx>
          <c:spPr>
            <a:solidFill>
              <a:schemeClr val="accent4"/>
            </a:solidFill>
            <a:ln>
              <a:noFill/>
            </a:ln>
            <a:effectLst/>
          </c:spPr>
          <c:invertIfNegative val="0"/>
          <c:cat>
            <c:strRef>
              <c:f>'DB-End Use'!$C$4:$N$4</c:f>
              <c:strCache>
                <c:ptCount val="9"/>
                <c:pt idx="0">
                  <c:v>Worst - Existing</c:v>
                </c:pt>
                <c:pt idx="1">
                  <c:v>Mid - Existing</c:v>
                </c:pt>
                <c:pt idx="2">
                  <c:v>Best - Existing</c:v>
                </c:pt>
                <c:pt idx="3">
                  <c:v>DOE Benchmark - Homes</c:v>
                </c:pt>
                <c:pt idx="4">
                  <c:v>Worst - Wx</c:v>
                </c:pt>
                <c:pt idx="5">
                  <c:v>Mid - Wx</c:v>
                </c:pt>
                <c:pt idx="6">
                  <c:v>Best - Wx</c:v>
                </c:pt>
                <c:pt idx="7">
                  <c:v>Worst - Geo</c:v>
                </c:pt>
                <c:pt idx="8">
                  <c:v>Mid - Geo</c:v>
                </c:pt>
              </c:strCache>
            </c:strRef>
          </c:cat>
          <c:val>
            <c:numRef>
              <c:f>'DB-End Use'!$C$22:$N$22</c:f>
              <c:numCache>
                <c:formatCode>_("$"* #,##0_);_("$"* \(#,##0\);_("$"* "-"??_);_(@_)</c:formatCode>
                <c:ptCount val="9"/>
                <c:pt idx="0">
                  <c:v>5.4060322108345528E-2</c:v>
                </c:pt>
                <c:pt idx="1">
                  <c:v>4.4858565153733522E-2</c:v>
                </c:pt>
                <c:pt idx="2">
                  <c:v>3.9682576866764269E-2</c:v>
                </c:pt>
                <c:pt idx="3">
                  <c:v>0</c:v>
                </c:pt>
                <c:pt idx="4">
                  <c:v>5.4060322108345528E-2</c:v>
                </c:pt>
                <c:pt idx="5">
                  <c:v>4.4858565153733522E-2</c:v>
                </c:pt>
                <c:pt idx="6">
                  <c:v>3.9682576866764269E-2</c:v>
                </c:pt>
                <c:pt idx="7">
                  <c:v>16.564312737920933</c:v>
                </c:pt>
                <c:pt idx="8">
                  <c:v>12.744433382137627</c:v>
                </c:pt>
              </c:numCache>
            </c:numRef>
          </c:val>
          <c:extLst>
            <c:ext xmlns:c16="http://schemas.microsoft.com/office/drawing/2014/chart" uri="{C3380CC4-5D6E-409C-BE32-E72D297353CC}">
              <c16:uniqueId val="{00000003-4055-44BA-BA73-FBE1D7C2F23C}"/>
            </c:ext>
          </c:extLst>
        </c:ser>
        <c:ser>
          <c:idx val="4"/>
          <c:order val="4"/>
          <c:tx>
            <c:strRef>
              <c:f>'DB-End Use'!$B$23</c:f>
              <c:strCache>
                <c:ptCount val="1"/>
                <c:pt idx="0">
                  <c:v>Fans</c:v>
                </c:pt>
              </c:strCache>
            </c:strRef>
          </c:tx>
          <c:spPr>
            <a:solidFill>
              <a:schemeClr val="accent5"/>
            </a:solidFill>
            <a:ln>
              <a:noFill/>
            </a:ln>
            <a:effectLst/>
          </c:spPr>
          <c:invertIfNegative val="0"/>
          <c:cat>
            <c:strRef>
              <c:f>'DB-End Use'!$C$4:$N$4</c:f>
              <c:strCache>
                <c:ptCount val="9"/>
                <c:pt idx="0">
                  <c:v>Worst - Existing</c:v>
                </c:pt>
                <c:pt idx="1">
                  <c:v>Mid - Existing</c:v>
                </c:pt>
                <c:pt idx="2">
                  <c:v>Best - Existing</c:v>
                </c:pt>
                <c:pt idx="3">
                  <c:v>DOE Benchmark - Homes</c:v>
                </c:pt>
                <c:pt idx="4">
                  <c:v>Worst - Wx</c:v>
                </c:pt>
                <c:pt idx="5">
                  <c:v>Mid - Wx</c:v>
                </c:pt>
                <c:pt idx="6">
                  <c:v>Best - Wx</c:v>
                </c:pt>
                <c:pt idx="7">
                  <c:v>Worst - Geo</c:v>
                </c:pt>
                <c:pt idx="8">
                  <c:v>Mid - Geo</c:v>
                </c:pt>
              </c:strCache>
            </c:strRef>
          </c:cat>
          <c:val>
            <c:numRef>
              <c:f>'DB-End Use'!$C$23:$N$23</c:f>
              <c:numCache>
                <c:formatCode>_("$"* #,##0_);_("$"* \(#,##0\);_("$"* "-"??_);_(@_)</c:formatCode>
                <c:ptCount val="9"/>
                <c:pt idx="0">
                  <c:v>429.37008257686671</c:v>
                </c:pt>
                <c:pt idx="1">
                  <c:v>336.02573469985356</c:v>
                </c:pt>
                <c:pt idx="2">
                  <c:v>239.08637540263538</c:v>
                </c:pt>
                <c:pt idx="3">
                  <c:v>0</c:v>
                </c:pt>
                <c:pt idx="4">
                  <c:v>346.67791859443628</c:v>
                </c:pt>
                <c:pt idx="5">
                  <c:v>299.49648491947289</c:v>
                </c:pt>
                <c:pt idx="6">
                  <c:v>239.08637540263538</c:v>
                </c:pt>
                <c:pt idx="7">
                  <c:v>142.60307818448021</c:v>
                </c:pt>
                <c:pt idx="8">
                  <c:v>123.64975929721814</c:v>
                </c:pt>
              </c:numCache>
            </c:numRef>
          </c:val>
          <c:extLst>
            <c:ext xmlns:c16="http://schemas.microsoft.com/office/drawing/2014/chart" uri="{C3380CC4-5D6E-409C-BE32-E72D297353CC}">
              <c16:uniqueId val="{00000004-4055-44BA-BA73-FBE1D7C2F23C}"/>
            </c:ext>
          </c:extLst>
        </c:ser>
        <c:ser>
          <c:idx val="5"/>
          <c:order val="5"/>
          <c:tx>
            <c:strRef>
              <c:f>'DB-End Use'!$B$24</c:f>
              <c:strCache>
                <c:ptCount val="1"/>
                <c:pt idx="0">
                  <c:v>Receptacles</c:v>
                </c:pt>
              </c:strCache>
            </c:strRef>
          </c:tx>
          <c:spPr>
            <a:solidFill>
              <a:schemeClr val="accent6"/>
            </a:solidFill>
            <a:ln>
              <a:noFill/>
            </a:ln>
            <a:effectLst/>
          </c:spPr>
          <c:invertIfNegative val="0"/>
          <c:cat>
            <c:strRef>
              <c:f>'DB-End Use'!$C$4:$N$4</c:f>
              <c:strCache>
                <c:ptCount val="9"/>
                <c:pt idx="0">
                  <c:v>Worst - Existing</c:v>
                </c:pt>
                <c:pt idx="1">
                  <c:v>Mid - Existing</c:v>
                </c:pt>
                <c:pt idx="2">
                  <c:v>Best - Existing</c:v>
                </c:pt>
                <c:pt idx="3">
                  <c:v>DOE Benchmark - Homes</c:v>
                </c:pt>
                <c:pt idx="4">
                  <c:v>Worst - Wx</c:v>
                </c:pt>
                <c:pt idx="5">
                  <c:v>Mid - Wx</c:v>
                </c:pt>
                <c:pt idx="6">
                  <c:v>Best - Wx</c:v>
                </c:pt>
                <c:pt idx="7">
                  <c:v>Worst - Geo</c:v>
                </c:pt>
                <c:pt idx="8">
                  <c:v>Mid - Geo</c:v>
                </c:pt>
              </c:strCache>
            </c:strRef>
          </c:cat>
          <c:val>
            <c:numRef>
              <c:f>'DB-End Use'!$C$24:$N$24</c:f>
              <c:numCache>
                <c:formatCode>_("$"* #,##0_);_("$"* \(#,##0\);_("$"* "-"??_);_(@_)</c:formatCode>
                <c:ptCount val="9"/>
                <c:pt idx="0">
                  <c:v>423.58165994634345</c:v>
                </c:pt>
                <c:pt idx="1">
                  <c:v>365.35524237679732</c:v>
                </c:pt>
                <c:pt idx="2">
                  <c:v>307.12882480725119</c:v>
                </c:pt>
                <c:pt idx="3">
                  <c:v>0</c:v>
                </c:pt>
                <c:pt idx="4">
                  <c:v>423.58165994634345</c:v>
                </c:pt>
                <c:pt idx="5">
                  <c:v>365.35524237679732</c:v>
                </c:pt>
                <c:pt idx="6">
                  <c:v>307.12882480725119</c:v>
                </c:pt>
                <c:pt idx="7">
                  <c:v>423.58165994634345</c:v>
                </c:pt>
                <c:pt idx="8">
                  <c:v>365.35524237679732</c:v>
                </c:pt>
              </c:numCache>
            </c:numRef>
          </c:val>
          <c:extLst>
            <c:ext xmlns:c16="http://schemas.microsoft.com/office/drawing/2014/chart" uri="{C3380CC4-5D6E-409C-BE32-E72D297353CC}">
              <c16:uniqueId val="{00000005-4055-44BA-BA73-FBE1D7C2F23C}"/>
            </c:ext>
          </c:extLst>
        </c:ser>
        <c:ser>
          <c:idx val="6"/>
          <c:order val="6"/>
          <c:tx>
            <c:strRef>
              <c:f>'DB-End Use'!$B$25</c:f>
              <c:strCache>
                <c:ptCount val="1"/>
                <c:pt idx="0">
                  <c:v>DHW</c:v>
                </c:pt>
              </c:strCache>
            </c:strRef>
          </c:tx>
          <c:spPr>
            <a:solidFill>
              <a:schemeClr val="accent1">
                <a:lumMod val="60000"/>
              </a:schemeClr>
            </a:solidFill>
            <a:ln>
              <a:noFill/>
            </a:ln>
            <a:effectLst/>
          </c:spPr>
          <c:invertIfNegative val="0"/>
          <c:cat>
            <c:strRef>
              <c:f>'DB-End Use'!$C$4:$N$4</c:f>
              <c:strCache>
                <c:ptCount val="9"/>
                <c:pt idx="0">
                  <c:v>Worst - Existing</c:v>
                </c:pt>
                <c:pt idx="1">
                  <c:v>Mid - Existing</c:v>
                </c:pt>
                <c:pt idx="2">
                  <c:v>Best - Existing</c:v>
                </c:pt>
                <c:pt idx="3">
                  <c:v>DOE Benchmark - Homes</c:v>
                </c:pt>
                <c:pt idx="4">
                  <c:v>Worst - Wx</c:v>
                </c:pt>
                <c:pt idx="5">
                  <c:v>Mid - Wx</c:v>
                </c:pt>
                <c:pt idx="6">
                  <c:v>Best - Wx</c:v>
                </c:pt>
                <c:pt idx="7">
                  <c:v>Worst - Geo</c:v>
                </c:pt>
                <c:pt idx="8">
                  <c:v>Mid - Geo</c:v>
                </c:pt>
              </c:strCache>
            </c:strRef>
          </c:cat>
          <c:val>
            <c:numRef>
              <c:f>'DB-End Use'!$C$25:$N$25</c:f>
              <c:numCache>
                <c:formatCode>_("$"* #,##0_);_("$"* \(#,##0\);_("$"* "-"??_);_(@_)</c:formatCode>
                <c:ptCount val="9"/>
                <c:pt idx="0">
                  <c:v>62.600285163776491</c:v>
                </c:pt>
                <c:pt idx="1">
                  <c:v>52.164007707129095</c:v>
                </c:pt>
                <c:pt idx="2">
                  <c:v>45.901672447013482</c:v>
                </c:pt>
                <c:pt idx="3">
                  <c:v>0</c:v>
                </c:pt>
                <c:pt idx="4">
                  <c:v>62.594123314065513</c:v>
                </c:pt>
                <c:pt idx="5">
                  <c:v>52.161795761078999</c:v>
                </c:pt>
                <c:pt idx="6">
                  <c:v>45.901672447013482</c:v>
                </c:pt>
                <c:pt idx="7">
                  <c:v>62.619876685934493</c:v>
                </c:pt>
                <c:pt idx="8">
                  <c:v>52.165824662813108</c:v>
                </c:pt>
              </c:numCache>
            </c:numRef>
          </c:val>
          <c:extLst>
            <c:ext xmlns:c16="http://schemas.microsoft.com/office/drawing/2014/chart" uri="{C3380CC4-5D6E-409C-BE32-E72D297353CC}">
              <c16:uniqueId val="{00000006-4055-44BA-BA73-FBE1D7C2F23C}"/>
            </c:ext>
          </c:extLst>
        </c:ser>
        <c:ser>
          <c:idx val="7"/>
          <c:order val="7"/>
          <c:tx>
            <c:strRef>
              <c:f>'DB-End Use'!$B$26</c:f>
              <c:strCache>
                <c:ptCount val="1"/>
                <c:pt idx="0">
                  <c:v>Savings </c:v>
                </c:pt>
              </c:strCache>
            </c:strRef>
          </c:tx>
          <c:spPr>
            <a:pattFill prst="ltUpDiag">
              <a:fgClr>
                <a:schemeClr val="accent3"/>
              </a:fgClr>
              <a:bgClr>
                <a:schemeClr val="bg1"/>
              </a:bgClr>
            </a:pattFill>
            <a:ln>
              <a:noFill/>
            </a:ln>
            <a:effectLst/>
          </c:spPr>
          <c:invertIfNegative val="0"/>
          <c:dLbls>
            <c:dLbl>
              <c:idx val="0"/>
              <c:tx>
                <c:rich>
                  <a:bodyPr/>
                  <a:lstStyle/>
                  <a:p>
                    <a:fld id="{02559C55-0CD4-413B-AD4C-A73DAC1874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055-44BA-BA73-FBE1D7C2F23C}"/>
                </c:ext>
              </c:extLst>
            </c:dLbl>
            <c:dLbl>
              <c:idx val="1"/>
              <c:tx>
                <c:rich>
                  <a:bodyPr/>
                  <a:lstStyle/>
                  <a:p>
                    <a:fld id="{0F17C594-3E91-4E98-9877-05105429BB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055-44BA-BA73-FBE1D7C2F23C}"/>
                </c:ext>
              </c:extLst>
            </c:dLbl>
            <c:dLbl>
              <c:idx val="2"/>
              <c:tx>
                <c:rich>
                  <a:bodyPr/>
                  <a:lstStyle/>
                  <a:p>
                    <a:fld id="{112C3C52-0F47-4C16-8E74-5C367E734F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055-44BA-BA73-FBE1D7C2F23C}"/>
                </c:ext>
              </c:extLst>
            </c:dLbl>
            <c:dLbl>
              <c:idx val="3"/>
              <c:tx>
                <c:rich>
                  <a:bodyPr/>
                  <a:lstStyle/>
                  <a:p>
                    <a:fld id="{96F0110E-A65C-4E71-8564-8C86CA13DA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055-44BA-BA73-FBE1D7C2F23C}"/>
                </c:ext>
              </c:extLst>
            </c:dLbl>
            <c:dLbl>
              <c:idx val="4"/>
              <c:tx>
                <c:rich>
                  <a:bodyPr/>
                  <a:lstStyle/>
                  <a:p>
                    <a:fld id="{F8E147FD-966B-4558-B929-7F4C9DFA81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055-44BA-BA73-FBE1D7C2F23C}"/>
                </c:ext>
              </c:extLst>
            </c:dLbl>
            <c:dLbl>
              <c:idx val="5"/>
              <c:tx>
                <c:rich>
                  <a:bodyPr/>
                  <a:lstStyle/>
                  <a:p>
                    <a:fld id="{771B7286-757B-4188-A638-00B2FA400E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055-44BA-BA73-FBE1D7C2F23C}"/>
                </c:ext>
              </c:extLst>
            </c:dLbl>
            <c:dLbl>
              <c:idx val="6"/>
              <c:tx>
                <c:rich>
                  <a:bodyPr/>
                  <a:lstStyle/>
                  <a:p>
                    <a:fld id="{323F94FE-7E66-428C-AF0E-55333DCA5B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055-44BA-BA73-FBE1D7C2F23C}"/>
                </c:ext>
              </c:extLst>
            </c:dLbl>
            <c:dLbl>
              <c:idx val="7"/>
              <c:tx>
                <c:rich>
                  <a:bodyPr/>
                  <a:lstStyle/>
                  <a:p>
                    <a:fld id="{C9B8E956-0F3A-44BF-8FBD-CD056408AB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055-44BA-BA73-FBE1D7C2F23C}"/>
                </c:ext>
              </c:extLst>
            </c:dLbl>
            <c:dLbl>
              <c:idx val="8"/>
              <c:tx>
                <c:rich>
                  <a:bodyPr/>
                  <a:lstStyle/>
                  <a:p>
                    <a:fld id="{07439792-0322-4ABC-A0F8-C4E60F4C86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055-44BA-BA73-FBE1D7C2F2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'DB-End Use'!$C$4:$N$4</c:f>
              <c:strCache>
                <c:ptCount val="9"/>
                <c:pt idx="0">
                  <c:v>Worst - Existing</c:v>
                </c:pt>
                <c:pt idx="1">
                  <c:v>Mid - Existing</c:v>
                </c:pt>
                <c:pt idx="2">
                  <c:v>Best - Existing</c:v>
                </c:pt>
                <c:pt idx="3">
                  <c:v>DOE Benchmark - Homes</c:v>
                </c:pt>
                <c:pt idx="4">
                  <c:v>Worst - Wx</c:v>
                </c:pt>
                <c:pt idx="5">
                  <c:v>Mid - Wx</c:v>
                </c:pt>
                <c:pt idx="6">
                  <c:v>Best - Wx</c:v>
                </c:pt>
                <c:pt idx="7">
                  <c:v>Worst - Geo</c:v>
                </c:pt>
                <c:pt idx="8">
                  <c:v>Mid - Geo</c:v>
                </c:pt>
              </c:strCache>
            </c:strRef>
          </c:cat>
          <c:val>
            <c:numRef>
              <c:f>'DB-End Use'!$C$26:$N$26</c:f>
              <c:numCache>
                <c:formatCode>_("$"* #,##0_);_("$"* \(#,##0\);_("$"* "-"??_);_(@_)</c:formatCode>
                <c:ptCount val="9"/>
                <c:pt idx="0" formatCode="_(* #,##0.0_);_(* \(#,##0.0\);_(* &quot;-&quot;?_);_(@_)">
                  <c:v>0</c:v>
                </c:pt>
                <c:pt idx="1">
                  <c:v>461.56585427883897</c:v>
                </c:pt>
                <c:pt idx="2">
                  <c:v>791.90557140688952</c:v>
                </c:pt>
                <c:pt idx="3">
                  <c:v>2113.9398841696357</c:v>
                </c:pt>
                <c:pt idx="4">
                  <c:v>246.42885744237287</c:v>
                </c:pt>
                <c:pt idx="5">
                  <c:v>559.68532516919277</c:v>
                </c:pt>
                <c:pt idx="6">
                  <c:v>791.90557140688952</c:v>
                </c:pt>
                <c:pt idx="7">
                  <c:v>211.02031884043254</c:v>
                </c:pt>
                <c:pt idx="8">
                  <c:v>606.03764816955686</c:v>
                </c:pt>
              </c:numCache>
            </c:numRef>
          </c:val>
          <c:extLst>
            <c:ext xmlns:c15="http://schemas.microsoft.com/office/drawing/2012/chart" uri="{02D57815-91ED-43cb-92C2-25804820EDAC}">
              <c15:datalabelsRange>
                <c15:f>'DB-End Use'!$C$30:$N$30</c15:f>
                <c15:dlblRangeCache>
                  <c:ptCount val="9"/>
                  <c:pt idx="1">
                    <c:v>Cost Savings: 22%</c:v>
                  </c:pt>
                  <c:pt idx="2">
                    <c:v>Cost Savings: 37%</c:v>
                  </c:pt>
                  <c:pt idx="3">
                    <c:v>Cost Savings: 100%</c:v>
                  </c:pt>
                  <c:pt idx="4">
                    <c:v>Cost Savings: 12%</c:v>
                  </c:pt>
                  <c:pt idx="5">
                    <c:v>Cost Savings: 26%</c:v>
                  </c:pt>
                  <c:pt idx="6">
                    <c:v>Cost Savings: 37%</c:v>
                  </c:pt>
                  <c:pt idx="7">
                    <c:v>Cost Savings: 10%</c:v>
                  </c:pt>
                  <c:pt idx="8">
                    <c:v>Cost Savings: 29%</c:v>
                  </c:pt>
                </c15:dlblRangeCache>
              </c15:datalabelsRange>
            </c:ext>
            <c:ext xmlns:c16="http://schemas.microsoft.com/office/drawing/2014/chart" uri="{C3380CC4-5D6E-409C-BE32-E72D297353CC}">
              <c16:uniqueId val="{0000000A-4055-44BA-BA73-FBE1D7C2F23C}"/>
            </c:ext>
          </c:extLst>
        </c:ser>
        <c:dLbls>
          <c:showLegendKey val="0"/>
          <c:showVal val="0"/>
          <c:showCatName val="0"/>
          <c:showSerName val="0"/>
          <c:showPercent val="0"/>
          <c:showBubbleSize val="0"/>
        </c:dLbls>
        <c:gapWidth val="150"/>
        <c:overlap val="100"/>
        <c:axId val="1219553984"/>
        <c:axId val="1219555952"/>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Energy Cost ($/yr)</a:t>
                </a:r>
              </a:p>
            </c:rich>
          </c:tx>
          <c:layout>
            <c:manualLayout>
              <c:xMode val="edge"/>
              <c:yMode val="edge"/>
              <c:x val="5.4158596352143373E-2"/>
              <c:y val="0.172719945439890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Energy End</a:t>
            </a:r>
            <a:r>
              <a:rPr lang="en-US" baseline="0"/>
              <a:t> Use 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'T-End Use'!$B$5</c:f>
              <c:strCache>
                <c:ptCount val="1"/>
                <c:pt idx="0">
                  <c:v>Lighting</c:v>
                </c:pt>
              </c:strCache>
            </c:strRef>
          </c:tx>
          <c:spPr>
            <a:solidFill>
              <a:schemeClr val="accent1"/>
            </a:solidFill>
            <a:ln>
              <a:noFill/>
            </a:ln>
            <a:effectLst/>
          </c:spPr>
          <c:invertIfNegative val="0"/>
          <c:cat>
            <c:numRef>
              <c:f>'T-End Use'!$C$4:$N$4</c:f>
              <c:numCache>
                <c:formatCode>General</c:formatCode>
                <c:ptCount val="9"/>
                <c:pt idx="0">
                  <c:v>0</c:v>
                </c:pt>
                <c:pt idx="1">
                  <c:v>0</c:v>
                </c:pt>
                <c:pt idx="2">
                  <c:v>0</c:v>
                </c:pt>
                <c:pt idx="3">
                  <c:v>0</c:v>
                </c:pt>
                <c:pt idx="4">
                  <c:v>0</c:v>
                </c:pt>
                <c:pt idx="5">
                  <c:v>0</c:v>
                </c:pt>
                <c:pt idx="6">
                  <c:v>0</c:v>
                </c:pt>
                <c:pt idx="7">
                  <c:v>0</c:v>
                </c:pt>
                <c:pt idx="8">
                  <c:v>0</c:v>
                </c:pt>
              </c:numCache>
            </c:numRef>
          </c:cat>
          <c:val>
            <c:numRef>
              <c:f>'T-End Use'!$C$5:$N$5</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B24D-4C51-98D9-D03EEDFADFBA}"/>
            </c:ext>
          </c:extLst>
        </c:ser>
        <c:ser>
          <c:idx val="1"/>
          <c:order val="1"/>
          <c:tx>
            <c:strRef>
              <c:f>'T-End Use'!$B$6</c:f>
              <c:strCache>
                <c:ptCount val="1"/>
                <c:pt idx="0">
                  <c:v>Heating</c:v>
                </c:pt>
              </c:strCache>
            </c:strRef>
          </c:tx>
          <c:spPr>
            <a:solidFill>
              <a:schemeClr val="accent2"/>
            </a:solidFill>
            <a:ln>
              <a:noFill/>
            </a:ln>
            <a:effectLst/>
          </c:spPr>
          <c:invertIfNegative val="0"/>
          <c:cat>
            <c:numRef>
              <c:f>'T-End Use'!$C$4:$N$4</c:f>
              <c:numCache>
                <c:formatCode>General</c:formatCode>
                <c:ptCount val="9"/>
                <c:pt idx="0">
                  <c:v>0</c:v>
                </c:pt>
                <c:pt idx="1">
                  <c:v>0</c:v>
                </c:pt>
                <c:pt idx="2">
                  <c:v>0</c:v>
                </c:pt>
                <c:pt idx="3">
                  <c:v>0</c:v>
                </c:pt>
                <c:pt idx="4">
                  <c:v>0</c:v>
                </c:pt>
                <c:pt idx="5">
                  <c:v>0</c:v>
                </c:pt>
                <c:pt idx="6">
                  <c:v>0</c:v>
                </c:pt>
                <c:pt idx="7">
                  <c:v>0</c:v>
                </c:pt>
                <c:pt idx="8">
                  <c:v>0</c:v>
                </c:pt>
              </c:numCache>
            </c:numRef>
          </c:cat>
          <c:val>
            <c:numRef>
              <c:f>'T-End Use'!$C$6:$N$6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24D-4C51-98D9-D03EEDFADFBA}"/>
            </c:ext>
          </c:extLst>
        </c:ser>
        <c:ser>
          <c:idx val="2"/>
          <c:order val="2"/>
          <c:tx>
            <c:strRef>
              <c:f>'T-End Use'!$B$7</c:f>
              <c:strCache>
                <c:ptCount val="1"/>
                <c:pt idx="0">
                  <c:v>Cooling</c:v>
                </c:pt>
              </c:strCache>
            </c:strRef>
          </c:tx>
          <c:spPr>
            <a:solidFill>
              <a:schemeClr val="accent3"/>
            </a:solidFill>
            <a:ln>
              <a:noFill/>
            </a:ln>
            <a:effectLst/>
          </c:spPr>
          <c:invertIfNegative val="0"/>
          <c:cat>
            <c:numRef>
              <c:f>'T-End Use'!$C$4:$N$4</c:f>
              <c:numCache>
                <c:formatCode>General</c:formatCode>
                <c:ptCount val="9"/>
                <c:pt idx="0">
                  <c:v>0</c:v>
                </c:pt>
                <c:pt idx="1">
                  <c:v>0</c:v>
                </c:pt>
                <c:pt idx="2">
                  <c:v>0</c:v>
                </c:pt>
                <c:pt idx="3">
                  <c:v>0</c:v>
                </c:pt>
                <c:pt idx="4">
                  <c:v>0</c:v>
                </c:pt>
                <c:pt idx="5">
                  <c:v>0</c:v>
                </c:pt>
                <c:pt idx="6">
                  <c:v>0</c:v>
                </c:pt>
                <c:pt idx="7">
                  <c:v>0</c:v>
                </c:pt>
                <c:pt idx="8">
                  <c:v>0</c:v>
                </c:pt>
              </c:numCache>
            </c:numRef>
          </c:cat>
          <c:val>
            <c:numRef>
              <c:f>'T-End Use'!$C$7:$N$7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B24D-4C51-98D9-D03EEDFADFBA}"/>
            </c:ext>
          </c:extLst>
        </c:ser>
        <c:ser>
          <c:idx val="3"/>
          <c:order val="3"/>
          <c:tx>
            <c:strRef>
              <c:f>'T-End Use'!$B$8</c:f>
              <c:strCache>
                <c:ptCount val="1"/>
                <c:pt idx="0">
                  <c:v>Pumps</c:v>
                </c:pt>
              </c:strCache>
            </c:strRef>
          </c:tx>
          <c:spPr>
            <a:solidFill>
              <a:schemeClr val="accent4"/>
            </a:solidFill>
            <a:ln>
              <a:noFill/>
            </a:ln>
            <a:effectLst/>
          </c:spPr>
          <c:invertIfNegative val="0"/>
          <c:cat>
            <c:numRef>
              <c:f>'T-End Use'!$C$4:$N$4</c:f>
              <c:numCache>
                <c:formatCode>General</c:formatCode>
                <c:ptCount val="9"/>
                <c:pt idx="0">
                  <c:v>0</c:v>
                </c:pt>
                <c:pt idx="1">
                  <c:v>0</c:v>
                </c:pt>
                <c:pt idx="2">
                  <c:v>0</c:v>
                </c:pt>
                <c:pt idx="3">
                  <c:v>0</c:v>
                </c:pt>
                <c:pt idx="4">
                  <c:v>0</c:v>
                </c:pt>
                <c:pt idx="5">
                  <c:v>0</c:v>
                </c:pt>
                <c:pt idx="6">
                  <c:v>0</c:v>
                </c:pt>
                <c:pt idx="7">
                  <c:v>0</c:v>
                </c:pt>
                <c:pt idx="8">
                  <c:v>0</c:v>
                </c:pt>
              </c:numCache>
            </c:numRef>
          </c:cat>
          <c:val>
            <c:numRef>
              <c:f>'T-End Use'!$C$8:$N$8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B24D-4C51-98D9-D03EEDFADFBA}"/>
            </c:ext>
          </c:extLst>
        </c:ser>
        <c:ser>
          <c:idx val="4"/>
          <c:order val="4"/>
          <c:tx>
            <c:strRef>
              <c:f>'T-End Use'!$B$9</c:f>
              <c:strCache>
                <c:ptCount val="1"/>
                <c:pt idx="0">
                  <c:v>Fans</c:v>
                </c:pt>
              </c:strCache>
            </c:strRef>
          </c:tx>
          <c:spPr>
            <a:solidFill>
              <a:schemeClr val="accent5"/>
            </a:solidFill>
            <a:ln>
              <a:noFill/>
            </a:ln>
            <a:effectLst/>
          </c:spPr>
          <c:invertIfNegative val="0"/>
          <c:cat>
            <c:numRef>
              <c:f>'T-End Use'!$C$4:$N$4</c:f>
              <c:numCache>
                <c:formatCode>General</c:formatCode>
                <c:ptCount val="9"/>
                <c:pt idx="0">
                  <c:v>0</c:v>
                </c:pt>
                <c:pt idx="1">
                  <c:v>0</c:v>
                </c:pt>
                <c:pt idx="2">
                  <c:v>0</c:v>
                </c:pt>
                <c:pt idx="3">
                  <c:v>0</c:v>
                </c:pt>
                <c:pt idx="4">
                  <c:v>0</c:v>
                </c:pt>
                <c:pt idx="5">
                  <c:v>0</c:v>
                </c:pt>
                <c:pt idx="6">
                  <c:v>0</c:v>
                </c:pt>
                <c:pt idx="7">
                  <c:v>0</c:v>
                </c:pt>
                <c:pt idx="8">
                  <c:v>0</c:v>
                </c:pt>
              </c:numCache>
            </c:numRef>
          </c:cat>
          <c:val>
            <c:numRef>
              <c:f>'T-End Use'!$C$9:$N$9</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B24D-4C51-98D9-D03EEDFADFBA}"/>
            </c:ext>
          </c:extLst>
        </c:ser>
        <c:ser>
          <c:idx val="5"/>
          <c:order val="5"/>
          <c:tx>
            <c:strRef>
              <c:f>'T-End Use'!$B$10</c:f>
              <c:strCache>
                <c:ptCount val="1"/>
                <c:pt idx="0">
                  <c:v>Receptacles</c:v>
                </c:pt>
              </c:strCache>
            </c:strRef>
          </c:tx>
          <c:spPr>
            <a:solidFill>
              <a:schemeClr val="accent6"/>
            </a:solidFill>
            <a:ln>
              <a:noFill/>
            </a:ln>
            <a:effectLst/>
          </c:spPr>
          <c:invertIfNegative val="0"/>
          <c:cat>
            <c:numRef>
              <c:f>'T-End Use'!$C$4:$N$4</c:f>
              <c:numCache>
                <c:formatCode>General</c:formatCode>
                <c:ptCount val="9"/>
                <c:pt idx="0">
                  <c:v>0</c:v>
                </c:pt>
                <c:pt idx="1">
                  <c:v>0</c:v>
                </c:pt>
                <c:pt idx="2">
                  <c:v>0</c:v>
                </c:pt>
                <c:pt idx="3">
                  <c:v>0</c:v>
                </c:pt>
                <c:pt idx="4">
                  <c:v>0</c:v>
                </c:pt>
                <c:pt idx="5">
                  <c:v>0</c:v>
                </c:pt>
                <c:pt idx="6">
                  <c:v>0</c:v>
                </c:pt>
                <c:pt idx="7">
                  <c:v>0</c:v>
                </c:pt>
                <c:pt idx="8">
                  <c:v>0</c:v>
                </c:pt>
              </c:numCache>
            </c:numRef>
          </c:cat>
          <c:val>
            <c:numRef>
              <c:f>'T-End Use'!$C$10:$N$10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B24D-4C51-98D9-D03EEDFADFBA}"/>
            </c:ext>
          </c:extLst>
        </c:ser>
        <c:ser>
          <c:idx val="6"/>
          <c:order val="6"/>
          <c:tx>
            <c:strRef>
              <c:f>'T-End Use'!$B$11</c:f>
              <c:strCache>
                <c:ptCount val="1"/>
                <c:pt idx="0">
                  <c:v>DHW</c:v>
                </c:pt>
              </c:strCache>
            </c:strRef>
          </c:tx>
          <c:spPr>
            <a:solidFill>
              <a:schemeClr val="accent1">
                <a:lumMod val="60000"/>
              </a:schemeClr>
            </a:solidFill>
            <a:ln>
              <a:noFill/>
            </a:ln>
            <a:effectLst/>
          </c:spPr>
          <c:invertIfNegative val="0"/>
          <c:cat>
            <c:numRef>
              <c:f>'T-End Use'!$C$4:$N$4</c:f>
              <c:numCache>
                <c:formatCode>General</c:formatCode>
                <c:ptCount val="9"/>
                <c:pt idx="0">
                  <c:v>0</c:v>
                </c:pt>
                <c:pt idx="1">
                  <c:v>0</c:v>
                </c:pt>
                <c:pt idx="2">
                  <c:v>0</c:v>
                </c:pt>
                <c:pt idx="3">
                  <c:v>0</c:v>
                </c:pt>
                <c:pt idx="4">
                  <c:v>0</c:v>
                </c:pt>
                <c:pt idx="5">
                  <c:v>0</c:v>
                </c:pt>
                <c:pt idx="6">
                  <c:v>0</c:v>
                </c:pt>
                <c:pt idx="7">
                  <c:v>0</c:v>
                </c:pt>
                <c:pt idx="8">
                  <c:v>0</c:v>
                </c:pt>
              </c:numCache>
            </c:numRef>
          </c:cat>
          <c:val>
            <c:numRef>
              <c:f>'T-End Use'!$C$11:$N$11</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B24D-4C51-98D9-D03EEDFADFBA}"/>
            </c:ext>
          </c:extLst>
        </c:ser>
        <c:ser>
          <c:idx val="7"/>
          <c:order val="7"/>
          <c:tx>
            <c:strRef>
              <c:f>'T-End Use'!$B$12</c:f>
              <c:strCache>
                <c:ptCount val="1"/>
                <c:pt idx="0">
                  <c:v>Savings </c:v>
                </c:pt>
              </c:strCache>
            </c:strRef>
          </c:tx>
          <c:spPr>
            <a:pattFill prst="ltUpDiag">
              <a:fgClr>
                <a:schemeClr val="accent3"/>
              </a:fgClr>
              <a:bgClr>
                <a:schemeClr val="bg1"/>
              </a:bgClr>
            </a:pattFill>
            <a:ln>
              <a:noFill/>
            </a:ln>
            <a:effectLst/>
          </c:spPr>
          <c:invertIfNegative val="0"/>
          <c:dLbls>
            <c:dLbl>
              <c:idx val="0"/>
              <c:tx>
                <c:rich>
                  <a:bodyPr/>
                  <a:lstStyle/>
                  <a:p>
                    <a:fld id="{8D3D4211-8470-48CB-A6FD-449DF0D9C4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24D-4C51-98D9-D03EEDFADFBA}"/>
                </c:ext>
              </c:extLst>
            </c:dLbl>
            <c:dLbl>
              <c:idx val="1"/>
              <c:tx>
                <c:rich>
                  <a:bodyPr/>
                  <a:lstStyle/>
                  <a:p>
                    <a:fld id="{11483835-A43D-4607-8A2B-315D5C341E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24D-4C51-98D9-D03EEDFADFBA}"/>
                </c:ext>
              </c:extLst>
            </c:dLbl>
            <c:dLbl>
              <c:idx val="2"/>
              <c:tx>
                <c:rich>
                  <a:bodyPr/>
                  <a:lstStyle/>
                  <a:p>
                    <a:fld id="{D821F167-713D-47FE-915F-0B7CB782FC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24D-4C51-98D9-D03EEDFADFBA}"/>
                </c:ext>
              </c:extLst>
            </c:dLbl>
            <c:dLbl>
              <c:idx val="3"/>
              <c:tx>
                <c:rich>
                  <a:bodyPr/>
                  <a:lstStyle/>
                  <a:p>
                    <a:fld id="{9F600754-643E-4AB0-9BF5-238E7E546C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482C-403D-92F5-9577FC6D5714}"/>
                </c:ext>
              </c:extLst>
            </c:dLbl>
            <c:dLbl>
              <c:idx val="4"/>
              <c:tx>
                <c:rich>
                  <a:bodyPr/>
                  <a:lstStyle/>
                  <a:p>
                    <a:fld id="{315FD927-7893-4848-85DD-7CFBD2A5F7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82C-403D-92F5-9577FC6D5714}"/>
                </c:ext>
              </c:extLst>
            </c:dLbl>
            <c:dLbl>
              <c:idx val="5"/>
              <c:tx>
                <c:rich>
                  <a:bodyPr/>
                  <a:lstStyle/>
                  <a:p>
                    <a:fld id="{D0D628D4-3069-4C35-A282-239BF242AA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482C-403D-92F5-9577FC6D5714}"/>
                </c:ext>
              </c:extLst>
            </c:dLbl>
            <c:dLbl>
              <c:idx val="6"/>
              <c:tx>
                <c:rich>
                  <a:bodyPr/>
                  <a:lstStyle/>
                  <a:p>
                    <a:fld id="{D06E2F57-CBE8-4FF9-95B6-2E75BF8304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82C-403D-92F5-9577FC6D5714}"/>
                </c:ext>
              </c:extLst>
            </c:dLbl>
            <c:dLbl>
              <c:idx val="7"/>
              <c:tx>
                <c:rich>
                  <a:bodyPr/>
                  <a:lstStyle/>
                  <a:p>
                    <a:fld id="{8E6DB53E-FA48-40A8-BE38-AB3A910938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82C-403D-92F5-9577FC6D5714}"/>
                </c:ext>
              </c:extLst>
            </c:dLbl>
            <c:dLbl>
              <c:idx val="8"/>
              <c:tx>
                <c:rich>
                  <a:bodyPr/>
                  <a:lstStyle/>
                  <a:p>
                    <a:fld id="{E7B20D33-9E00-4540-B0AD-1902735F3D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82C-403D-92F5-9577FC6D57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'T-End Use'!$C$4:$N$4</c:f>
              <c:numCache>
                <c:formatCode>General</c:formatCode>
                <c:ptCount val="9"/>
                <c:pt idx="0">
                  <c:v>0</c:v>
                </c:pt>
                <c:pt idx="1">
                  <c:v>0</c:v>
                </c:pt>
                <c:pt idx="2">
                  <c:v>0</c:v>
                </c:pt>
                <c:pt idx="3">
                  <c:v>0</c:v>
                </c:pt>
                <c:pt idx="4">
                  <c:v>0</c:v>
                </c:pt>
                <c:pt idx="5">
                  <c:v>0</c:v>
                </c:pt>
                <c:pt idx="6">
                  <c:v>0</c:v>
                </c:pt>
                <c:pt idx="7">
                  <c:v>0</c:v>
                </c:pt>
                <c:pt idx="8">
                  <c:v>0</c:v>
                </c:pt>
              </c:numCache>
            </c:numRef>
          </c:cat>
          <c:val>
            <c:numRef>
              <c:f>'T-End Use'!$C$12:$N$12</c:f>
              <c:numCache>
                <c:formatCode>0.0</c:formatCode>
                <c:ptCount val="9"/>
                <c:pt idx="0" formatCode="_(* #,##0.0_);_(* \(#,##0.0\);_(* &quot;-&quot;?_);_(@_)">
                  <c:v>0</c:v>
                </c:pt>
                <c:pt idx="1">
                  <c:v>0</c:v>
                </c:pt>
                <c:pt idx="2">
                  <c:v>0</c:v>
                </c:pt>
                <c:pt idx="3">
                  <c:v>0</c:v>
                </c:pt>
                <c:pt idx="4">
                  <c:v>0</c:v>
                </c:pt>
                <c:pt idx="5">
                  <c:v>0</c:v>
                </c:pt>
                <c:pt idx="6">
                  <c:v>0</c:v>
                </c:pt>
                <c:pt idx="7">
                  <c:v>0</c:v>
                </c:pt>
                <c:pt idx="8">
                  <c:v>0</c:v>
                </c:pt>
              </c:numCache>
            </c:numRef>
          </c:val>
          <c:extLst>
            <c:ext xmlns:c15="http://schemas.microsoft.com/office/drawing/2012/chart" uri="{02D57815-91ED-43cb-92C2-25804820EDAC}">
              <c15:datalabelsRange>
                <c15:f>'T-End Use'!$C$16:$N$16</c15:f>
                <c15:dlblRangeCache>
                  <c:ptCount val="9"/>
                </c15:dlblRangeCache>
              </c15:datalabelsRange>
            </c:ext>
            <c:ext xmlns:c16="http://schemas.microsoft.com/office/drawing/2014/chart" uri="{C3380CC4-5D6E-409C-BE32-E72D297353CC}">
              <c16:uniqueId val="{00000007-B24D-4C51-98D9-D03EEDFADFBA}"/>
            </c:ext>
          </c:extLst>
        </c:ser>
        <c:dLbls>
          <c:showLegendKey val="0"/>
          <c:showVal val="0"/>
          <c:showCatName val="0"/>
          <c:showSerName val="0"/>
          <c:showPercent val="0"/>
          <c:showBubbleSize val="0"/>
        </c:dLbls>
        <c:gapWidth val="150"/>
        <c:overlap val="100"/>
        <c:axId val="1219553984"/>
        <c:axId val="1219555952"/>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Energy Use Intensity (kBtu/ft</a:t>
                </a:r>
                <a:r>
                  <a:rPr lang="en-US" baseline="30000"/>
                  <a:t>2</a:t>
                </a:r>
                <a:r>
                  <a:rPr lang="en-US"/>
                  <a:t>/yr)</a:t>
                </a:r>
              </a:p>
            </c:rich>
          </c:tx>
          <c:layout>
            <c:manualLayout>
              <c:xMode val="edge"/>
              <c:yMode val="edge"/>
              <c:x val="5.4158596352143373E-2"/>
              <c:y val="0.172719945439890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Energy Cost </a:t>
            </a:r>
            <a:r>
              <a:rPr lang="en-US" baseline="0"/>
              <a:t>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'T-End Use'!$B$19</c:f>
              <c:strCache>
                <c:ptCount val="1"/>
                <c:pt idx="0">
                  <c:v>Lighting</c:v>
                </c:pt>
              </c:strCache>
            </c:strRef>
          </c:tx>
          <c:spPr>
            <a:solidFill>
              <a:schemeClr val="accent1"/>
            </a:solidFill>
            <a:ln>
              <a:noFill/>
            </a:ln>
            <a:effectLst/>
          </c:spPr>
          <c:invertIfNegative val="0"/>
          <c:cat>
            <c:numRef>
              <c:f>'T-End Use'!$C$4:$N$4</c:f>
              <c:numCache>
                <c:formatCode>General</c:formatCode>
                <c:ptCount val="9"/>
                <c:pt idx="0">
                  <c:v>0</c:v>
                </c:pt>
                <c:pt idx="1">
                  <c:v>0</c:v>
                </c:pt>
                <c:pt idx="2">
                  <c:v>0</c:v>
                </c:pt>
                <c:pt idx="3">
                  <c:v>0</c:v>
                </c:pt>
                <c:pt idx="4">
                  <c:v>0</c:v>
                </c:pt>
                <c:pt idx="5">
                  <c:v>0</c:v>
                </c:pt>
                <c:pt idx="6">
                  <c:v>0</c:v>
                </c:pt>
                <c:pt idx="7">
                  <c:v>0</c:v>
                </c:pt>
                <c:pt idx="8">
                  <c:v>0</c:v>
                </c:pt>
              </c:numCache>
            </c:numRef>
          </c:cat>
          <c:val>
            <c:numRef>
              <c:f>'T-End Use'!$C$19:$N$19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C876-4E1B-AB9B-59FF3EEEF23C}"/>
            </c:ext>
          </c:extLst>
        </c:ser>
        <c:ser>
          <c:idx val="1"/>
          <c:order val="1"/>
          <c:tx>
            <c:strRef>
              <c:f>'T-End Use'!$B$20</c:f>
              <c:strCache>
                <c:ptCount val="1"/>
                <c:pt idx="0">
                  <c:v>Heating</c:v>
                </c:pt>
              </c:strCache>
            </c:strRef>
          </c:tx>
          <c:spPr>
            <a:solidFill>
              <a:schemeClr val="accent2"/>
            </a:solidFill>
            <a:ln>
              <a:noFill/>
            </a:ln>
            <a:effectLst/>
          </c:spPr>
          <c:invertIfNegative val="0"/>
          <c:cat>
            <c:numRef>
              <c:f>'T-End Use'!$C$4:$N$4</c:f>
              <c:numCache>
                <c:formatCode>General</c:formatCode>
                <c:ptCount val="9"/>
                <c:pt idx="0">
                  <c:v>0</c:v>
                </c:pt>
                <c:pt idx="1">
                  <c:v>0</c:v>
                </c:pt>
                <c:pt idx="2">
                  <c:v>0</c:v>
                </c:pt>
                <c:pt idx="3">
                  <c:v>0</c:v>
                </c:pt>
                <c:pt idx="4">
                  <c:v>0</c:v>
                </c:pt>
                <c:pt idx="5">
                  <c:v>0</c:v>
                </c:pt>
                <c:pt idx="6">
                  <c:v>0</c:v>
                </c:pt>
                <c:pt idx="7">
                  <c:v>0</c:v>
                </c:pt>
                <c:pt idx="8">
                  <c:v>0</c:v>
                </c:pt>
              </c:numCache>
            </c:numRef>
          </c:cat>
          <c:val>
            <c:numRef>
              <c:f>'T-End Use'!$C$20:$N$20</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C876-4E1B-AB9B-59FF3EEEF23C}"/>
            </c:ext>
          </c:extLst>
        </c:ser>
        <c:ser>
          <c:idx val="2"/>
          <c:order val="2"/>
          <c:tx>
            <c:strRef>
              <c:f>'T-End Use'!$B$21</c:f>
              <c:strCache>
                <c:ptCount val="1"/>
                <c:pt idx="0">
                  <c:v>Cooling</c:v>
                </c:pt>
              </c:strCache>
            </c:strRef>
          </c:tx>
          <c:spPr>
            <a:solidFill>
              <a:schemeClr val="accent3"/>
            </a:solidFill>
            <a:ln>
              <a:noFill/>
            </a:ln>
            <a:effectLst/>
          </c:spPr>
          <c:invertIfNegative val="0"/>
          <c:cat>
            <c:numRef>
              <c:f>'T-End Use'!$C$4:$N$4</c:f>
              <c:numCache>
                <c:formatCode>General</c:formatCode>
                <c:ptCount val="9"/>
                <c:pt idx="0">
                  <c:v>0</c:v>
                </c:pt>
                <c:pt idx="1">
                  <c:v>0</c:v>
                </c:pt>
                <c:pt idx="2">
                  <c:v>0</c:v>
                </c:pt>
                <c:pt idx="3">
                  <c:v>0</c:v>
                </c:pt>
                <c:pt idx="4">
                  <c:v>0</c:v>
                </c:pt>
                <c:pt idx="5">
                  <c:v>0</c:v>
                </c:pt>
                <c:pt idx="6">
                  <c:v>0</c:v>
                </c:pt>
                <c:pt idx="7">
                  <c:v>0</c:v>
                </c:pt>
                <c:pt idx="8">
                  <c:v>0</c:v>
                </c:pt>
              </c:numCache>
            </c:numRef>
          </c:cat>
          <c:val>
            <c:numRef>
              <c:f>'T-End Use'!$C$21:$N$21</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C876-4E1B-AB9B-59FF3EEEF23C}"/>
            </c:ext>
          </c:extLst>
        </c:ser>
        <c:ser>
          <c:idx val="3"/>
          <c:order val="3"/>
          <c:tx>
            <c:strRef>
              <c:f>'T-End Use'!$B$22</c:f>
              <c:strCache>
                <c:ptCount val="1"/>
                <c:pt idx="0">
                  <c:v>Pumps</c:v>
                </c:pt>
              </c:strCache>
            </c:strRef>
          </c:tx>
          <c:spPr>
            <a:solidFill>
              <a:schemeClr val="accent4"/>
            </a:solidFill>
            <a:ln>
              <a:noFill/>
            </a:ln>
            <a:effectLst/>
          </c:spPr>
          <c:invertIfNegative val="0"/>
          <c:cat>
            <c:numRef>
              <c:f>'T-End Use'!$C$4:$N$4</c:f>
              <c:numCache>
                <c:formatCode>General</c:formatCode>
                <c:ptCount val="9"/>
                <c:pt idx="0">
                  <c:v>0</c:v>
                </c:pt>
                <c:pt idx="1">
                  <c:v>0</c:v>
                </c:pt>
                <c:pt idx="2">
                  <c:v>0</c:v>
                </c:pt>
                <c:pt idx="3">
                  <c:v>0</c:v>
                </c:pt>
                <c:pt idx="4">
                  <c:v>0</c:v>
                </c:pt>
                <c:pt idx="5">
                  <c:v>0</c:v>
                </c:pt>
                <c:pt idx="6">
                  <c:v>0</c:v>
                </c:pt>
                <c:pt idx="7">
                  <c:v>0</c:v>
                </c:pt>
                <c:pt idx="8">
                  <c:v>0</c:v>
                </c:pt>
              </c:numCache>
            </c:numRef>
          </c:cat>
          <c:val>
            <c:numRef>
              <c:f>'T-End Use'!$C$22:$N$22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C876-4E1B-AB9B-59FF3EEEF23C}"/>
            </c:ext>
          </c:extLst>
        </c:ser>
        <c:ser>
          <c:idx val="4"/>
          <c:order val="4"/>
          <c:tx>
            <c:strRef>
              <c:f>'T-End Use'!$B$23</c:f>
              <c:strCache>
                <c:ptCount val="1"/>
                <c:pt idx="0">
                  <c:v>Fans</c:v>
                </c:pt>
              </c:strCache>
            </c:strRef>
          </c:tx>
          <c:spPr>
            <a:solidFill>
              <a:schemeClr val="accent5"/>
            </a:solidFill>
            <a:ln>
              <a:noFill/>
            </a:ln>
            <a:effectLst/>
          </c:spPr>
          <c:invertIfNegative val="0"/>
          <c:cat>
            <c:numRef>
              <c:f>'T-End Use'!$C$4:$N$4</c:f>
              <c:numCache>
                <c:formatCode>General</c:formatCode>
                <c:ptCount val="9"/>
                <c:pt idx="0">
                  <c:v>0</c:v>
                </c:pt>
                <c:pt idx="1">
                  <c:v>0</c:v>
                </c:pt>
                <c:pt idx="2">
                  <c:v>0</c:v>
                </c:pt>
                <c:pt idx="3">
                  <c:v>0</c:v>
                </c:pt>
                <c:pt idx="4">
                  <c:v>0</c:v>
                </c:pt>
                <c:pt idx="5">
                  <c:v>0</c:v>
                </c:pt>
                <c:pt idx="6">
                  <c:v>0</c:v>
                </c:pt>
                <c:pt idx="7">
                  <c:v>0</c:v>
                </c:pt>
                <c:pt idx="8">
                  <c:v>0</c:v>
                </c:pt>
              </c:numCache>
            </c:numRef>
          </c:cat>
          <c:val>
            <c:numRef>
              <c:f>'T-End Use'!$C$23:$N$23</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C876-4E1B-AB9B-59FF3EEEF23C}"/>
            </c:ext>
          </c:extLst>
        </c:ser>
        <c:ser>
          <c:idx val="5"/>
          <c:order val="5"/>
          <c:tx>
            <c:strRef>
              <c:f>'T-End Use'!$B$24</c:f>
              <c:strCache>
                <c:ptCount val="1"/>
                <c:pt idx="0">
                  <c:v>Receptacles</c:v>
                </c:pt>
              </c:strCache>
            </c:strRef>
          </c:tx>
          <c:spPr>
            <a:solidFill>
              <a:schemeClr val="accent6"/>
            </a:solidFill>
            <a:ln>
              <a:noFill/>
            </a:ln>
            <a:effectLst/>
          </c:spPr>
          <c:invertIfNegative val="0"/>
          <c:cat>
            <c:numRef>
              <c:f>'T-End Use'!$C$4:$N$4</c:f>
              <c:numCache>
                <c:formatCode>General</c:formatCode>
                <c:ptCount val="9"/>
                <c:pt idx="0">
                  <c:v>0</c:v>
                </c:pt>
                <c:pt idx="1">
                  <c:v>0</c:v>
                </c:pt>
                <c:pt idx="2">
                  <c:v>0</c:v>
                </c:pt>
                <c:pt idx="3">
                  <c:v>0</c:v>
                </c:pt>
                <c:pt idx="4">
                  <c:v>0</c:v>
                </c:pt>
                <c:pt idx="5">
                  <c:v>0</c:v>
                </c:pt>
                <c:pt idx="6">
                  <c:v>0</c:v>
                </c:pt>
                <c:pt idx="7">
                  <c:v>0</c:v>
                </c:pt>
                <c:pt idx="8">
                  <c:v>0</c:v>
                </c:pt>
              </c:numCache>
            </c:numRef>
          </c:cat>
          <c:val>
            <c:numRef>
              <c:f>'T-End Use'!$C$24:$N$24</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C876-4E1B-AB9B-59FF3EEEF23C}"/>
            </c:ext>
          </c:extLst>
        </c:ser>
        <c:ser>
          <c:idx val="6"/>
          <c:order val="6"/>
          <c:tx>
            <c:strRef>
              <c:f>'T-End Use'!$B$25</c:f>
              <c:strCache>
                <c:ptCount val="1"/>
                <c:pt idx="0">
                  <c:v>DHW</c:v>
                </c:pt>
              </c:strCache>
            </c:strRef>
          </c:tx>
          <c:spPr>
            <a:solidFill>
              <a:schemeClr val="accent1">
                <a:lumMod val="60000"/>
              </a:schemeClr>
            </a:solidFill>
            <a:ln>
              <a:noFill/>
            </a:ln>
            <a:effectLst/>
          </c:spPr>
          <c:invertIfNegative val="0"/>
          <c:cat>
            <c:numRef>
              <c:f>'T-End Use'!$C$4:$N$4</c:f>
              <c:numCache>
                <c:formatCode>General</c:formatCode>
                <c:ptCount val="9"/>
                <c:pt idx="0">
                  <c:v>0</c:v>
                </c:pt>
                <c:pt idx="1">
                  <c:v>0</c:v>
                </c:pt>
                <c:pt idx="2">
                  <c:v>0</c:v>
                </c:pt>
                <c:pt idx="3">
                  <c:v>0</c:v>
                </c:pt>
                <c:pt idx="4">
                  <c:v>0</c:v>
                </c:pt>
                <c:pt idx="5">
                  <c:v>0</c:v>
                </c:pt>
                <c:pt idx="6">
                  <c:v>0</c:v>
                </c:pt>
                <c:pt idx="7">
                  <c:v>0</c:v>
                </c:pt>
                <c:pt idx="8">
                  <c:v>0</c:v>
                </c:pt>
              </c:numCache>
            </c:numRef>
          </c:cat>
          <c:val>
            <c:numRef>
              <c:f>'T-End Use'!$C$25:$N$25</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C876-4E1B-AB9B-59FF3EEEF23C}"/>
            </c:ext>
          </c:extLst>
        </c:ser>
        <c:ser>
          <c:idx val="7"/>
          <c:order val="7"/>
          <c:tx>
            <c:strRef>
              <c:f>'T-End Use'!$B$26</c:f>
              <c:strCache>
                <c:ptCount val="1"/>
                <c:pt idx="0">
                  <c:v>Savings </c:v>
                </c:pt>
              </c:strCache>
            </c:strRef>
          </c:tx>
          <c:spPr>
            <a:pattFill prst="ltUpDiag">
              <a:fgClr>
                <a:schemeClr val="accent3"/>
              </a:fgClr>
              <a:bgClr>
                <a:schemeClr val="bg1"/>
              </a:bgClr>
            </a:pattFill>
            <a:ln>
              <a:noFill/>
            </a:ln>
            <a:effectLst/>
          </c:spPr>
          <c:invertIfNegative val="0"/>
          <c:dLbls>
            <c:dLbl>
              <c:idx val="0"/>
              <c:tx>
                <c:rich>
                  <a:bodyPr/>
                  <a:lstStyle/>
                  <a:p>
                    <a:fld id="{33ED9D33-D0C2-4FF4-9DC9-51E9C89740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876-4E1B-AB9B-59FF3EEEF23C}"/>
                </c:ext>
              </c:extLst>
            </c:dLbl>
            <c:dLbl>
              <c:idx val="1"/>
              <c:tx>
                <c:rich>
                  <a:bodyPr/>
                  <a:lstStyle/>
                  <a:p>
                    <a:fld id="{DCF70D35-B4A4-43CA-9C3F-16C450F45E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C876-4E1B-AB9B-59FF3EEEF23C}"/>
                </c:ext>
              </c:extLst>
            </c:dLbl>
            <c:dLbl>
              <c:idx val="2"/>
              <c:tx>
                <c:rich>
                  <a:bodyPr/>
                  <a:lstStyle/>
                  <a:p>
                    <a:fld id="{BCD4B66D-F082-4DC4-B38B-3B79AD97B3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876-4E1B-AB9B-59FF3EEEF23C}"/>
                </c:ext>
              </c:extLst>
            </c:dLbl>
            <c:dLbl>
              <c:idx val="3"/>
              <c:tx>
                <c:rich>
                  <a:bodyPr/>
                  <a:lstStyle/>
                  <a:p>
                    <a:fld id="{A2ACEDA3-7F5D-4DD3-AE56-BB96295066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7D1-4C0E-9EB3-E24B5D50063A}"/>
                </c:ext>
              </c:extLst>
            </c:dLbl>
            <c:dLbl>
              <c:idx val="4"/>
              <c:tx>
                <c:rich>
                  <a:bodyPr/>
                  <a:lstStyle/>
                  <a:p>
                    <a:fld id="{FBE50CD3-05BE-4E13-B537-90A170FD32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7D1-4C0E-9EB3-E24B5D50063A}"/>
                </c:ext>
              </c:extLst>
            </c:dLbl>
            <c:dLbl>
              <c:idx val="5"/>
              <c:tx>
                <c:rich>
                  <a:bodyPr/>
                  <a:lstStyle/>
                  <a:p>
                    <a:fld id="{6ABD8A4A-F0EC-443A-AB7E-E8F293E921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7D1-4C0E-9EB3-E24B5D50063A}"/>
                </c:ext>
              </c:extLst>
            </c:dLbl>
            <c:dLbl>
              <c:idx val="6"/>
              <c:tx>
                <c:rich>
                  <a:bodyPr/>
                  <a:lstStyle/>
                  <a:p>
                    <a:fld id="{A9B559B0-8572-496C-92EB-3802C0BA96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7D1-4C0E-9EB3-E24B5D50063A}"/>
                </c:ext>
              </c:extLst>
            </c:dLbl>
            <c:dLbl>
              <c:idx val="7"/>
              <c:tx>
                <c:rich>
                  <a:bodyPr/>
                  <a:lstStyle/>
                  <a:p>
                    <a:fld id="{11CA2DB6-D859-46BA-B02E-A69E6D5B1E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7D1-4C0E-9EB3-E24B5D50063A}"/>
                </c:ext>
              </c:extLst>
            </c:dLbl>
            <c:dLbl>
              <c:idx val="8"/>
              <c:tx>
                <c:rich>
                  <a:bodyPr/>
                  <a:lstStyle/>
                  <a:p>
                    <a:fld id="{80FEA171-DFC5-4364-BC13-EB66317CA3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7D1-4C0E-9EB3-E24B5D5006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'T-End Use'!$C$4:$N$4</c:f>
              <c:numCache>
                <c:formatCode>General</c:formatCode>
                <c:ptCount val="9"/>
                <c:pt idx="0">
                  <c:v>0</c:v>
                </c:pt>
                <c:pt idx="1">
                  <c:v>0</c:v>
                </c:pt>
                <c:pt idx="2">
                  <c:v>0</c:v>
                </c:pt>
                <c:pt idx="3">
                  <c:v>0</c:v>
                </c:pt>
                <c:pt idx="4">
                  <c:v>0</c:v>
                </c:pt>
                <c:pt idx="5">
                  <c:v>0</c:v>
                </c:pt>
                <c:pt idx="6">
                  <c:v>0</c:v>
                </c:pt>
                <c:pt idx="7">
                  <c:v>0</c:v>
                </c:pt>
                <c:pt idx="8">
                  <c:v>0</c:v>
                </c:pt>
              </c:numCache>
            </c:numRef>
          </c:cat>
          <c:val>
            <c:numRef>
              <c:f>'T-End Use'!$C$26:$N$26</c:f>
              <c:numCache>
                <c:formatCode>_("$"* #,##0_);_("$"* \(#,##0\);_("$"* "-"??_);_(@_)</c:formatCode>
                <c:ptCount val="9"/>
                <c:pt idx="0" formatCode="_(* #,##0.0_);_(* \(#,##0.0\);_(* &quot;-&quot;?_);_(@_)">
                  <c:v>0</c:v>
                </c:pt>
                <c:pt idx="1">
                  <c:v>0</c:v>
                </c:pt>
                <c:pt idx="2">
                  <c:v>0</c:v>
                </c:pt>
                <c:pt idx="3">
                  <c:v>0</c:v>
                </c:pt>
                <c:pt idx="4">
                  <c:v>0</c:v>
                </c:pt>
                <c:pt idx="5">
                  <c:v>0</c:v>
                </c:pt>
                <c:pt idx="6">
                  <c:v>0</c:v>
                </c:pt>
                <c:pt idx="7">
                  <c:v>0</c:v>
                </c:pt>
                <c:pt idx="8">
                  <c:v>0</c:v>
                </c:pt>
              </c:numCache>
            </c:numRef>
          </c:val>
          <c:extLst>
            <c:ext xmlns:c15="http://schemas.microsoft.com/office/drawing/2012/chart" uri="{02D57815-91ED-43cb-92C2-25804820EDAC}">
              <c15:datalabelsRange>
                <c15:f>'T-End Use'!$C$30:$N$30</c15:f>
                <c15:dlblRangeCache>
                  <c:ptCount val="9"/>
                </c15:dlblRangeCache>
              </c15:datalabelsRange>
            </c:ext>
            <c:ext xmlns:c16="http://schemas.microsoft.com/office/drawing/2014/chart" uri="{C3380CC4-5D6E-409C-BE32-E72D297353CC}">
              <c16:uniqueId val="{00000014-C876-4E1B-AB9B-59FF3EEEF23C}"/>
            </c:ext>
          </c:extLst>
        </c:ser>
        <c:dLbls>
          <c:showLegendKey val="0"/>
          <c:showVal val="0"/>
          <c:showCatName val="0"/>
          <c:showSerName val="0"/>
          <c:showPercent val="0"/>
          <c:showBubbleSize val="0"/>
        </c:dLbls>
        <c:gapWidth val="150"/>
        <c:overlap val="100"/>
        <c:axId val="1219553984"/>
        <c:axId val="1219555952"/>
      </c:barChart>
      <c:catAx>
        <c:axId val="12195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5952"/>
        <c:crosses val="autoZero"/>
        <c:auto val="1"/>
        <c:lblAlgn val="ctr"/>
        <c:lblOffset val="100"/>
        <c:noMultiLvlLbl val="0"/>
      </c:catAx>
      <c:valAx>
        <c:axId val="121955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a:t>Energy Cost ($/yr)</a:t>
                </a:r>
              </a:p>
            </c:rich>
          </c:tx>
          <c:layout>
            <c:manualLayout>
              <c:xMode val="edge"/>
              <c:yMode val="edge"/>
              <c:x val="5.4158596352143373E-2"/>
              <c:y val="0.172719945439890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19553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 PV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'Garcia PV Study - mid data'!$B$1</c:f>
              <c:strCache>
                <c:ptCount val="1"/>
                <c:pt idx="0">
                  <c:v>Existing - Electric/Cooling</c:v>
                </c:pt>
              </c:strCache>
            </c:strRef>
          </c:tx>
          <c:spPr>
            <a:ln w="28575" cap="rnd">
              <a:solidFill>
                <a:schemeClr val="accent1"/>
              </a:solidFill>
              <a:round/>
            </a:ln>
            <a:effectLst/>
          </c:spPr>
          <c:marker>
            <c:symbol val="none"/>
          </c:marker>
          <c:cat>
            <c:strRef>
              <c:f>'Garcia PV Study - mid data'!$A$2:$A$13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'Garcia PV Study - mid data'!$B$2:$B$13</c:f>
              <c:numCache>
                <c:formatCode>0</c:formatCode>
                <c:ptCount val="12"/>
                <c:pt idx="0">
                  <c:v>1446.2813799999999</c:v>
                </c:pt>
                <c:pt idx="1">
                  <c:v>1305.791905</c:v>
                </c:pt>
                <c:pt idx="2">
                  <c:v>1415.1926289999999</c:v>
                </c:pt>
                <c:pt idx="3">
                  <c:v>1321.4173040000001</c:v>
                </c:pt>
                <c:pt idx="4">
                  <c:v>1579.575711</c:v>
                </c:pt>
                <c:pt idx="5">
                  <c:v>2128.4328850000002</c:v>
                </c:pt>
                <c:pt idx="6">
                  <c:v>2506.7610209999998</c:v>
                </c:pt>
                <c:pt idx="7">
                  <c:v>2311.09663</c:v>
                </c:pt>
                <c:pt idx="8">
                  <c:v>1544.3856089999999</c:v>
                </c:pt>
                <c:pt idx="9">
                  <c:v>1285.702419</c:v>
                </c:pt>
                <c:pt idx="10">
                  <c:v>1313.397541</c:v>
                </c:pt>
                <c:pt idx="11">
                  <c:v>1445.408723</c:v>
                </c:pt>
              </c:numCache>
            </c:numRef>
          </c:val>
          <c:smooth val="0"/>
          <c:extLst>
            <c:ext xmlns:c16="http://schemas.microsoft.com/office/drawing/2014/chart" uri="{C3380CC4-5D6E-409C-BE32-E72D297353CC}">
              <c16:uniqueId val="{00000000-435F-4D24-A06E-2BA4135A3079}"/>
            </c:ext>
          </c:extLst>
        </c:ser>
        <c:ser>
          <c:idx val="1"/>
          <c:order val="1"/>
          <c:tx>
            <c:strRef>
              <c:f>'Garcia PV Study - mid data'!$C$1</c:f>
              <c:strCache>
                <c:ptCount val="1"/>
                <c:pt idx="0">
                  <c:v>Existing - Heating/Natural Gas</c:v>
                </c:pt>
              </c:strCache>
            </c:strRef>
          </c:tx>
          <c:spPr>
            <a:ln w="28575" cap="rnd">
              <a:solidFill>
                <a:schemeClr val="accent2"/>
              </a:solidFill>
              <a:round/>
            </a:ln>
            <a:effectLst/>
          </c:spPr>
          <c:marker>
            <c:symbol val="none"/>
          </c:marker>
          <c:cat>
            <c:strRef>
              <c:f>'Garcia PV Study - mid data'!$A$2:$A$13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'Garcia PV Study - mid data'!$C$2:$C$13</c:f>
              <c:numCache>
                <c:formatCode>0</c:formatCode>
                <c:ptCount val="12"/>
                <c:pt idx="0">
                  <c:v>13922.51778</c:v>
                </c:pt>
                <c:pt idx="1">
                  <c:v>10503.076290000001</c:v>
                </c:pt>
                <c:pt idx="2">
                  <c:v>8032.8341229999996</c:v>
                </c:pt>
                <c:pt idx="3">
                  <c:v>5456.7778669999998</c:v>
                </c:pt>
                <c:pt idx="4">
                  <c:v>1945.636841</c:v>
                </c:pt>
                <c:pt idx="5">
                  <c:v>1007.881274</c:v>
                </c:pt>
                <c:pt idx="6">
                  <c:v>887.71620210000003</c:v>
                </c:pt>
                <c:pt idx="7">
                  <c:v>928.5935561</c:v>
                </c:pt>
                <c:pt idx="8">
                  <c:v>1510.6900450000001</c:v>
                </c:pt>
                <c:pt idx="9">
                  <c:v>4247.4443369999999</c:v>
                </c:pt>
                <c:pt idx="10">
                  <c:v>7102.7053749999995</c:v>
                </c:pt>
                <c:pt idx="11">
                  <c:v>10766.936019999999</c:v>
                </c:pt>
              </c:numCache>
            </c:numRef>
          </c:val>
          <c:smooth val="0"/>
          <c:extLst>
            <c:ext xmlns:c16="http://schemas.microsoft.com/office/drawing/2014/chart" uri="{C3380CC4-5D6E-409C-BE32-E72D297353CC}">
              <c16:uniqueId val="{00000001-435F-4D24-A06E-2BA4135A3079}"/>
            </c:ext>
          </c:extLst>
        </c:ser>
        <c:dLbls>
          <c:showLegendKey val="0"/>
          <c:showVal val="0"/>
          <c:showCatName val="0"/>
          <c:showSerName val="0"/>
          <c:showPercent val="0"/>
          <c:showBubbleSize val="0"/>
        </c:dLbls>
        <c:smooth val="0"/>
        <c:axId val="805923808"/>
        <c:axId val="805924288"/>
      </c:lineChart>
      <c:catAx>
        <c:axId val="805923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924288"/>
        <c:crosses val="autoZero"/>
        <c:auto val="1"/>
        <c:lblAlgn val="ctr"/>
        <c:lblOffset val="100"/>
        <c:noMultiLvlLbl val="0"/>
      </c:catAx>
      <c:valAx>
        <c:axId val="805924288"/>
        <c:scaling>
          <c:orientation val="minMax"/>
          <c:max val="15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923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'Garcia PV Study - mid data'!$F$1</c:f>
              <c:strCache>
                <c:ptCount val="1"/>
                <c:pt idx="0">
                  <c:v>Electric - PV</c:v>
                </c:pt>
              </c:strCache>
            </c:strRef>
          </c:tx>
          <c:spPr>
            <a:ln w="28575" cap="rnd">
              <a:solidFill>
                <a:schemeClr val="accent1"/>
              </a:solidFill>
              <a:round/>
            </a:ln>
            <a:effectLst/>
          </c:spPr>
          <c:marker>
            <c:symbol val="none"/>
          </c:marker>
          <c:cat>
            <c:strRef>
              <c:f>'Garcia PV Study - mid data'!$A$2:$A$14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'Garcia PV Study - mid data'!$F$2:$F$14</c:f>
              <c:numCache>
                <c:formatCode>0</c:formatCode>
                <c:ptCount val="13"/>
                <c:pt idx="0">
                  <c:v>875.38083526315779</c:v>
                </c:pt>
                <c:pt idx="1">
                  <c:v>629.27142790296057</c:v>
                </c:pt>
                <c:pt idx="2">
                  <c:v>358.45339616118417</c:v>
                </c:pt>
                <c:pt idx="3">
                  <c:v>215.16498864473681</c:v>
                </c:pt>
                <c:pt idx="4">
                  <c:v>166.2711274736842</c:v>
                </c:pt>
                <c:pt idx="5">
                  <c:v>49.009967746710508</c:v>
                </c:pt>
                <c:pt idx="6">
                  <c:v>0</c:v>
                </c:pt>
                <c:pt idx="7">
                  <c:v>266.08020411184225</c:v>
                </c:pt>
                <c:pt idx="8">
                  <c:v>302.27284123519735</c:v>
                </c:pt>
                <c:pt idx="9">
                  <c:v>537.11910267434212</c:v>
                </c:pt>
                <c:pt idx="10">
                  <c:v>715.02399024835518</c:v>
                </c:pt>
                <c:pt idx="11">
                  <c:v>953.30410842598678</c:v>
                </c:pt>
              </c:numCache>
            </c:numRef>
          </c:val>
          <c:smooth val="0"/>
          <c:extLst>
            <c:ext xmlns:c16="http://schemas.microsoft.com/office/drawing/2014/chart" uri="{C3380CC4-5D6E-409C-BE32-E72D297353CC}">
              <c16:uniqueId val="{00000000-F76C-44A3-8772-00B97F73025D}"/>
            </c:ext>
          </c:extLst>
        </c:ser>
        <c:ser>
          <c:idx val="1"/>
          <c:order val="1"/>
          <c:tx>
            <c:strRef>
              <c:f>'Garcia PV Study - mid data'!$G$1</c:f>
              <c:strCache>
                <c:ptCount val="1"/>
                <c:pt idx="0">
                  <c:v>NG-PV-Heating</c:v>
                </c:pt>
              </c:strCache>
            </c:strRef>
          </c:tx>
          <c:spPr>
            <a:ln w="28575" cap="rnd">
              <a:solidFill>
                <a:schemeClr val="accent2"/>
              </a:solidFill>
              <a:round/>
            </a:ln>
            <a:effectLst/>
          </c:spPr>
          <c:marker>
            <c:symbol val="none"/>
          </c:marker>
          <c:cat>
            <c:strRef>
              <c:f>'Garcia PV Study - mid data'!$A$2:$A$14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'Garcia PV Study - mid data'!$G$2:$G$16</c:f>
              <c:numCache>
                <c:formatCode>0</c:formatCode>
                <c:ptCount val="15"/>
                <c:pt idx="0">
                  <c:v>13922.51778</c:v>
                </c:pt>
                <c:pt idx="1">
                  <c:v>10503.076290000001</c:v>
                </c:pt>
                <c:pt idx="2">
                  <c:v>8032.8341229999996</c:v>
                </c:pt>
                <c:pt idx="3">
                  <c:v>5456.7778669999998</c:v>
                </c:pt>
                <c:pt idx="4">
                  <c:v>1945.636841</c:v>
                </c:pt>
                <c:pt idx="5">
                  <c:v>1007.881274</c:v>
                </c:pt>
                <c:pt idx="6">
                  <c:v>887.71620210000003</c:v>
                </c:pt>
                <c:pt idx="7">
                  <c:v>928.5935561</c:v>
                </c:pt>
                <c:pt idx="8">
                  <c:v>1510.6900450000001</c:v>
                </c:pt>
                <c:pt idx="9">
                  <c:v>4247.4443369999999</c:v>
                </c:pt>
                <c:pt idx="10">
                  <c:v>7102.7053749999995</c:v>
                </c:pt>
                <c:pt idx="11">
                  <c:v>10766.936019999999</c:v>
                </c:pt>
              </c:numCache>
            </c:numRef>
          </c:val>
          <c:smooth val="0"/>
          <c:extLst>
            <c:ext xmlns:c16="http://schemas.microsoft.com/office/drawing/2014/chart" uri="{C3380CC4-5D6E-409C-BE32-E72D297353CC}">
              <c16:uniqueId val="{00000001-F76C-44A3-8772-00B97F73025D}"/>
            </c:ext>
          </c:extLst>
        </c:ser>
        <c:dLbls>
          <c:showLegendKey val="0"/>
          <c:showVal val="0"/>
          <c:showCatName val="0"/>
          <c:showSerName val="0"/>
          <c:showPercent val="0"/>
          <c:showBubbleSize val="0"/>
        </c:dLbls>
        <c:smooth val="0"/>
        <c:axId val="476552624"/>
        <c:axId val="715826720"/>
      </c:lineChart>
      <c:catAx>
        <c:axId val="4765526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5826720"/>
        <c:crosses val="autoZero"/>
        <c:auto val="1"/>
        <c:lblAlgn val="ctr"/>
        <c:lblOffset val="100"/>
        <c:noMultiLvlLbl val="0"/>
      </c:catAx>
      <c:valAx>
        <c:axId val="715826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55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Geo Only</a:t>
            </a:r>
          </a:p>
        </c:rich>
      </c:tx>
      <c:overlay val="0"/>
      <c:spPr>
        <a:noFill/>
        <a:ln>
          <a:noFill/>
        </a:ln>
        <a:effectLst/>
      </c:spPr>
    </c:title>
    <c:autoTitleDeleted val="0"/>
    <c:plotArea>
      <c:layout/>
      <c:lineChart>
        <c:grouping val="standard"/>
        <c:varyColors val="0"/>
        <c:ser>
          <c:idx val="2"/>
          <c:order val="0"/>
          <c:tx>
            <c:strRef>
              <c:f>'Garcia PV Study - mid data'!$J$1</c:f>
              <c:strCache>
                <c:ptCount val="1"/>
                <c:pt idx="0">
                  <c:v>Cooling - Geo</c:v>
                </c:pt>
              </c:strCache>
            </c:strRef>
          </c:tx>
          <c:marker>
            <c:symbol val="none"/>
          </c:marker>
          <c:cat>
            <c:strRef>
              <c:f>'Garcia PV Study - mid data'!$A$2:$A$13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'Garcia PV Study - mid data'!$J$2:$J$16</c:f>
              <c:numCache>
                <c:formatCode>0</c:formatCode>
                <c:ptCount val="15"/>
                <c:pt idx="0">
                  <c:v>1446.2813799999999</c:v>
                </c:pt>
                <c:pt idx="1">
                  <c:v>1305.791905</c:v>
                </c:pt>
                <c:pt idx="2">
                  <c:v>1415.1926289999999</c:v>
                </c:pt>
                <c:pt idx="3">
                  <c:v>550.59054333333336</c:v>
                </c:pt>
                <c:pt idx="4">
                  <c:v>658.15654625000002</c:v>
                </c:pt>
                <c:pt idx="5">
                  <c:v>886.84703541666681</c:v>
                </c:pt>
                <c:pt idx="6">
                  <c:v>1044.4837587499999</c:v>
                </c:pt>
                <c:pt idx="7">
                  <c:v>962.95692916666667</c:v>
                </c:pt>
                <c:pt idx="8">
                  <c:v>643.49400375000005</c:v>
                </c:pt>
                <c:pt idx="9">
                  <c:v>1285.702419</c:v>
                </c:pt>
                <c:pt idx="10">
                  <c:v>1313.397541</c:v>
                </c:pt>
                <c:pt idx="11">
                  <c:v>1445.408723</c:v>
                </c:pt>
              </c:numCache>
            </c:numRef>
          </c:val>
          <c:smooth val="0"/>
          <c:extLst>
            <c:ext xmlns:c16="http://schemas.microsoft.com/office/drawing/2014/chart" uri="{C3380CC4-5D6E-409C-BE32-E72D297353CC}">
              <c16:uniqueId val="{00000000-D3D8-4499-87FB-26A80C3DBEA9}"/>
            </c:ext>
          </c:extLst>
        </c:ser>
        <c:ser>
          <c:idx val="3"/>
          <c:order val="1"/>
          <c:tx>
            <c:strRef>
              <c:f>'Garcia PV Study - mid data'!$K$1</c:f>
              <c:strCache>
                <c:ptCount val="1"/>
                <c:pt idx="0">
                  <c:v>Heating - Geo</c:v>
                </c:pt>
              </c:strCache>
            </c:strRef>
          </c:tx>
          <c:marker>
            <c:symbol val="none"/>
          </c:marker>
          <c:cat>
            <c:strRef>
              <c:f>'Garcia PV Study - mid data'!$A$2:$A$13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'Garcia PV Study - mid data'!$K$2:$K$13</c:f>
              <c:numCache>
                <c:formatCode>0</c:formatCode>
                <c:ptCount val="12"/>
                <c:pt idx="0">
                  <c:v>3521.6706177777778</c:v>
                </c:pt>
                <c:pt idx="1">
                  <c:v>2761.7947311111111</c:v>
                </c:pt>
                <c:pt idx="2">
                  <c:v>2212.8520273333334</c:v>
                </c:pt>
                <c:pt idx="3">
                  <c:v>1640.3950815555554</c:v>
                </c:pt>
                <c:pt idx="4">
                  <c:v>860.1415202222222</c:v>
                </c:pt>
                <c:pt idx="5">
                  <c:v>651.75139422222219</c:v>
                </c:pt>
                <c:pt idx="6">
                  <c:v>625.04804491111111</c:v>
                </c:pt>
                <c:pt idx="7">
                  <c:v>634.13190135555556</c:v>
                </c:pt>
                <c:pt idx="8">
                  <c:v>763.48667666666665</c:v>
                </c:pt>
                <c:pt idx="9">
                  <c:v>1371.6542971111112</c:v>
                </c:pt>
                <c:pt idx="10">
                  <c:v>2006.1567499999999</c:v>
                </c:pt>
                <c:pt idx="11">
                  <c:v>2820.4302266666664</c:v>
                </c:pt>
              </c:numCache>
            </c:numRef>
          </c:val>
          <c:smooth val="0"/>
          <c:extLst>
            <c:ext xmlns:c16="http://schemas.microsoft.com/office/drawing/2014/chart" uri="{C3380CC4-5D6E-409C-BE32-E72D297353CC}">
              <c16:uniqueId val="{00000001-D3D8-4499-87FB-26A80C3DBEA9}"/>
            </c:ext>
          </c:extLst>
        </c:ser>
        <c:ser>
          <c:idx val="0"/>
          <c:order val="2"/>
          <c:tx>
            <c:strRef>
              <c:f>'Garcia PV Study - mid data'!$J$1</c:f>
              <c:strCache>
                <c:ptCount val="1"/>
                <c:pt idx="0">
                  <c:v>Cooling - Geo</c:v>
                </c:pt>
              </c:strCache>
            </c:strRef>
          </c:tx>
          <c:spPr>
            <a:ln w="28575" cap="rnd">
              <a:solidFill>
                <a:schemeClr val="accent1"/>
              </a:solidFill>
              <a:round/>
            </a:ln>
            <a:effectLst/>
          </c:spPr>
          <c:marker>
            <c:symbol val="none"/>
          </c:marker>
          <c:cat>
            <c:strRef>
              <c:f>'Garcia PV Study - mid data'!$A$2:$A$13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'Garcia PV Study - mid data'!$J$2:$J$13</c:f>
              <c:numCache>
                <c:formatCode>0</c:formatCode>
                <c:ptCount val="12"/>
                <c:pt idx="0">
                  <c:v>1446.2813799999999</c:v>
                </c:pt>
                <c:pt idx="1">
                  <c:v>1305.791905</c:v>
                </c:pt>
                <c:pt idx="2">
                  <c:v>1415.1926289999999</c:v>
                </c:pt>
                <c:pt idx="3">
                  <c:v>550.59054333333336</c:v>
                </c:pt>
                <c:pt idx="4">
                  <c:v>658.15654625000002</c:v>
                </c:pt>
                <c:pt idx="5">
                  <c:v>886.84703541666681</c:v>
                </c:pt>
                <c:pt idx="6">
                  <c:v>1044.4837587499999</c:v>
                </c:pt>
                <c:pt idx="7">
                  <c:v>962.95692916666667</c:v>
                </c:pt>
                <c:pt idx="8">
                  <c:v>643.49400375000005</c:v>
                </c:pt>
                <c:pt idx="9">
                  <c:v>1285.702419</c:v>
                </c:pt>
                <c:pt idx="10">
                  <c:v>1313.397541</c:v>
                </c:pt>
                <c:pt idx="11">
                  <c:v>1445.408723</c:v>
                </c:pt>
              </c:numCache>
            </c:numRef>
          </c:val>
          <c:smooth val="0"/>
          <c:extLst>
            <c:ext xmlns:c16="http://schemas.microsoft.com/office/drawing/2014/chart" uri="{C3380CC4-5D6E-409C-BE32-E72D297353CC}">
              <c16:uniqueId val="{00000002-D3D8-4499-87FB-26A80C3DBEA9}"/>
            </c:ext>
          </c:extLst>
        </c:ser>
        <c:ser>
          <c:idx val="1"/>
          <c:order val="3"/>
          <c:tx>
            <c:strRef>
              <c:f>'Garcia PV Study - mid data'!$K$1</c:f>
              <c:strCache>
                <c:ptCount val="1"/>
                <c:pt idx="0">
                  <c:v>Heating - Geo</c:v>
                </c:pt>
              </c:strCache>
            </c:strRef>
          </c:tx>
          <c:spPr>
            <a:ln w="28575" cap="rnd">
              <a:solidFill>
                <a:schemeClr val="accent2"/>
              </a:solidFill>
              <a:round/>
            </a:ln>
            <a:effectLst/>
          </c:spPr>
          <c:marker>
            <c:symbol val="none"/>
          </c:marker>
          <c:cat>
            <c:strRef>
              <c:f>'Garcia PV Study - mid data'!$A$2:$A$13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'Garcia PV Study - mid data'!$K$2:$K$13</c:f>
              <c:numCache>
                <c:formatCode>0</c:formatCode>
                <c:ptCount val="12"/>
                <c:pt idx="0">
                  <c:v>3521.6706177777778</c:v>
                </c:pt>
                <c:pt idx="1">
                  <c:v>2761.7947311111111</c:v>
                </c:pt>
                <c:pt idx="2">
                  <c:v>2212.8520273333334</c:v>
                </c:pt>
                <c:pt idx="3">
                  <c:v>1640.3950815555554</c:v>
                </c:pt>
                <c:pt idx="4">
                  <c:v>860.1415202222222</c:v>
                </c:pt>
                <c:pt idx="5">
                  <c:v>651.75139422222219</c:v>
                </c:pt>
                <c:pt idx="6">
                  <c:v>625.04804491111111</c:v>
                </c:pt>
                <c:pt idx="7">
                  <c:v>634.13190135555556</c:v>
                </c:pt>
                <c:pt idx="8">
                  <c:v>763.48667666666665</c:v>
                </c:pt>
                <c:pt idx="9">
                  <c:v>1371.6542971111112</c:v>
                </c:pt>
                <c:pt idx="10">
                  <c:v>2006.1567499999999</c:v>
                </c:pt>
                <c:pt idx="11">
                  <c:v>2820.4302266666664</c:v>
                </c:pt>
              </c:numCache>
            </c:numRef>
          </c:val>
          <c:smooth val="0"/>
          <c:extLst>
            <c:ext xmlns:c16="http://schemas.microsoft.com/office/drawing/2014/chart" uri="{C3380CC4-5D6E-409C-BE32-E72D297353CC}">
              <c16:uniqueId val="{00000003-D3D8-4499-87FB-26A80C3DBEA9}"/>
            </c:ext>
          </c:extLst>
        </c:ser>
        <c:dLbls>
          <c:showLegendKey val="0"/>
          <c:showVal val="0"/>
          <c:showCatName val="0"/>
          <c:showSerName val="0"/>
          <c:showPercent val="0"/>
          <c:showBubbleSize val="0"/>
        </c:dLbls>
        <c:smooth val="0"/>
        <c:axId val="476552624"/>
        <c:axId val="715826720"/>
      </c:lineChart>
      <c:catAx>
        <c:axId val="4765526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5826720"/>
        <c:crosses val="autoZero"/>
        <c:auto val="1"/>
        <c:lblAlgn val="ctr"/>
        <c:lblOffset val="100"/>
        <c:noMultiLvlLbl val="0"/>
      </c:catAx>
      <c:valAx>
        <c:axId val="715826720"/>
        <c:scaling>
          <c:orientation val="minMax"/>
          <c:max val="15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552624"/>
        <c:crosses val="autoZero"/>
        <c:crossBetween val="between"/>
      </c:valAx>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5" Type="http://schemas.openxmlformats.org/officeDocument/2006/relationships/chart" Target="../charts/chart33.xml"/><Relationship Id="rId4" Type="http://schemas.openxmlformats.org/officeDocument/2006/relationships/chart" Target="../charts/chart3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jpeg"/><Relationship Id="rId1" Type="http://schemas.openxmlformats.org/officeDocument/2006/relationships/image" Target="../media/image16.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2</xdr:col>
      <xdr:colOff>33622</xdr:colOff>
      <xdr:row>36</xdr:row>
      <xdr:rowOff>11202</xdr:rowOff>
    </xdr:from>
    <xdr:to>
      <xdr:col>6</xdr:col>
      <xdr:colOff>504266</xdr:colOff>
      <xdr:row>50</xdr:row>
      <xdr:rowOff>44825</xdr:rowOff>
    </xdr:to>
    <xdr:sp macro="" textlink="">
      <xdr:nvSpPr>
        <xdr:cNvPr id="2" name="TextBox 1">
          <a:extLst>
            <a:ext uri="{FF2B5EF4-FFF2-40B4-BE49-F238E27FC236}">
              <a16:creationId xmlns:a16="http://schemas.microsoft.com/office/drawing/2014/main" id="{101C83C5-CB9C-49A3-9016-EC0F57E8464D}"/>
            </a:ext>
          </a:extLst>
        </xdr:cNvPr>
        <xdr:cNvSpPr txBox="1"/>
      </xdr:nvSpPr>
      <xdr:spPr>
        <a:xfrm>
          <a:off x="738472" y="7288302"/>
          <a:ext cx="4709269" cy="2433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a:t>
          </a:r>
          <a:r>
            <a:rPr lang="en-US" sz="1100" baseline="0"/>
            <a:t> Create bullet with Alt+7</a:t>
          </a:r>
        </a:p>
      </xdr:txBody>
    </xdr:sp>
    <xdr:clientData/>
  </xdr:twoCellAnchor>
  <xdr:twoCellAnchor>
    <xdr:from>
      <xdr:col>7</xdr:col>
      <xdr:colOff>797858</xdr:colOff>
      <xdr:row>28</xdr:row>
      <xdr:rowOff>138392</xdr:rowOff>
    </xdr:from>
    <xdr:to>
      <xdr:col>12</xdr:col>
      <xdr:colOff>105895</xdr:colOff>
      <xdr:row>56</xdr:row>
      <xdr:rowOff>12886</xdr:rowOff>
    </xdr:to>
    <xdr:graphicFrame macro="">
      <xdr:nvGraphicFramePr>
        <xdr:cNvPr id="3" name="Chart 2">
          <a:extLst>
            <a:ext uri="{FF2B5EF4-FFF2-40B4-BE49-F238E27FC236}">
              <a16:creationId xmlns:a16="http://schemas.microsoft.com/office/drawing/2014/main" id="{9685BD80-F742-4AE2-A61E-B7BD149F132F}"/>
            </a:ext>
            <a:ext uri="{147F2762-F138-4A5C-976F-8EAC2B608ADB}">
              <a16:predDERef xmlns:a16="http://schemas.microsoft.com/office/drawing/2014/main" pred="{101C83C5-CB9C-49A3-9016-EC0F57E84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799539</xdr:colOff>
      <xdr:row>55</xdr:row>
      <xdr:rowOff>121582</xdr:rowOff>
    </xdr:from>
    <xdr:to>
      <xdr:col>12</xdr:col>
      <xdr:colOff>107576</xdr:colOff>
      <xdr:row>82</xdr:row>
      <xdr:rowOff>155200</xdr:rowOff>
    </xdr:to>
    <xdr:graphicFrame macro="">
      <xdr:nvGraphicFramePr>
        <xdr:cNvPr id="4" name="Chart 3">
          <a:extLst>
            <a:ext uri="{FF2B5EF4-FFF2-40B4-BE49-F238E27FC236}">
              <a16:creationId xmlns:a16="http://schemas.microsoft.com/office/drawing/2014/main" id="{C7AC0238-9C92-4184-9ECB-55ED34688F68}"/>
            </a:ext>
            <a:ext uri="{147F2762-F138-4A5C-976F-8EAC2B608ADB}">
              <a16:predDERef xmlns:a16="http://schemas.microsoft.com/office/drawing/2014/main" pred="{9685BD80-F742-4AE2-A61E-B7BD149F13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208108</xdr:colOff>
      <xdr:row>38</xdr:row>
      <xdr:rowOff>26793</xdr:rowOff>
    </xdr:from>
    <xdr:to>
      <xdr:col>14</xdr:col>
      <xdr:colOff>1280671</xdr:colOff>
      <xdr:row>65</xdr:row>
      <xdr:rowOff>152081</xdr:rowOff>
    </xdr:to>
    <xdr:graphicFrame macro="">
      <xdr:nvGraphicFramePr>
        <xdr:cNvPr id="3" name="Chart 2">
          <a:extLst>
            <a:ext uri="{FF2B5EF4-FFF2-40B4-BE49-F238E27FC236}">
              <a16:creationId xmlns:a16="http://schemas.microsoft.com/office/drawing/2014/main" id="{46BED5B8-F049-41F9-A6F4-8FD3598B2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31133</xdr:colOff>
      <xdr:row>38</xdr:row>
      <xdr:rowOff>132789</xdr:rowOff>
    </xdr:from>
    <xdr:to>
      <xdr:col>19</xdr:col>
      <xdr:colOff>1929013</xdr:colOff>
      <xdr:row>66</xdr:row>
      <xdr:rowOff>128787</xdr:rowOff>
    </xdr:to>
    <xdr:graphicFrame macro="">
      <xdr:nvGraphicFramePr>
        <xdr:cNvPr id="4" name="Chart 3">
          <a:extLst>
            <a:ext uri="{FF2B5EF4-FFF2-40B4-BE49-F238E27FC236}">
              <a16:creationId xmlns:a16="http://schemas.microsoft.com/office/drawing/2014/main" id="{B496D575-7E13-48C3-A89E-A8D56231D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2044388</xdr:colOff>
      <xdr:row>38</xdr:row>
      <xdr:rowOff>71843</xdr:rowOff>
    </xdr:from>
    <xdr:to>
      <xdr:col>24</xdr:col>
      <xdr:colOff>1496786</xdr:colOff>
      <xdr:row>66</xdr:row>
      <xdr:rowOff>8004</xdr:rowOff>
    </xdr:to>
    <xdr:graphicFrame macro="">
      <xdr:nvGraphicFramePr>
        <xdr:cNvPr id="6" name="Chart 5">
          <a:extLst>
            <a:ext uri="{FF2B5EF4-FFF2-40B4-BE49-F238E27FC236}">
              <a16:creationId xmlns:a16="http://schemas.microsoft.com/office/drawing/2014/main" id="{B3FA3CC7-1005-405D-8312-24EC03CDF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306779</xdr:colOff>
      <xdr:row>69</xdr:row>
      <xdr:rowOff>29689</xdr:rowOff>
    </xdr:from>
    <xdr:to>
      <xdr:col>15</xdr:col>
      <xdr:colOff>97179</xdr:colOff>
      <xdr:row>96</xdr:row>
      <xdr:rowOff>157699</xdr:rowOff>
    </xdr:to>
    <xdr:graphicFrame macro="">
      <xdr:nvGraphicFramePr>
        <xdr:cNvPr id="2" name="Chart 1">
          <a:extLst>
            <a:ext uri="{FF2B5EF4-FFF2-40B4-BE49-F238E27FC236}">
              <a16:creationId xmlns:a16="http://schemas.microsoft.com/office/drawing/2014/main" id="{AF6D388C-B4C6-4BEE-B589-C28CF4267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1034144</xdr:colOff>
      <xdr:row>69</xdr:row>
      <xdr:rowOff>59379</xdr:rowOff>
    </xdr:from>
    <xdr:to>
      <xdr:col>19</xdr:col>
      <xdr:colOff>1496787</xdr:colOff>
      <xdr:row>97</xdr:row>
      <xdr:rowOff>54429</xdr:rowOff>
    </xdr:to>
    <xdr:graphicFrame macro="">
      <xdr:nvGraphicFramePr>
        <xdr:cNvPr id="7" name="Chart 6">
          <a:extLst>
            <a:ext uri="{FF2B5EF4-FFF2-40B4-BE49-F238E27FC236}">
              <a16:creationId xmlns:a16="http://schemas.microsoft.com/office/drawing/2014/main" id="{70E8CC17-1BA8-42FD-9F55-D29F12D64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1545442</xdr:colOff>
      <xdr:row>69</xdr:row>
      <xdr:rowOff>106547</xdr:rowOff>
    </xdr:from>
    <xdr:to>
      <xdr:col>24</xdr:col>
      <xdr:colOff>498929</xdr:colOff>
      <xdr:row>97</xdr:row>
      <xdr:rowOff>56767</xdr:rowOff>
    </xdr:to>
    <xdr:graphicFrame macro="">
      <xdr:nvGraphicFramePr>
        <xdr:cNvPr id="8" name="Chart 7">
          <a:extLst>
            <a:ext uri="{FF2B5EF4-FFF2-40B4-BE49-F238E27FC236}">
              <a16:creationId xmlns:a16="http://schemas.microsoft.com/office/drawing/2014/main" id="{49EBB174-8E3A-4310-A5D8-8682E19EB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410990</xdr:colOff>
      <xdr:row>80</xdr:row>
      <xdr:rowOff>35026</xdr:rowOff>
    </xdr:from>
    <xdr:to>
      <xdr:col>14</xdr:col>
      <xdr:colOff>751373</xdr:colOff>
      <xdr:row>96</xdr:row>
      <xdr:rowOff>153532</xdr:rowOff>
    </xdr:to>
    <xdr:graphicFrame macro="">
      <xdr:nvGraphicFramePr>
        <xdr:cNvPr id="6" name="Chart 5">
          <a:extLst>
            <a:ext uri="{FF2B5EF4-FFF2-40B4-BE49-F238E27FC236}">
              <a16:creationId xmlns:a16="http://schemas.microsoft.com/office/drawing/2014/main" id="{786CAD2E-1B32-DF89-2CB6-878534A2DA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12543</xdr:colOff>
      <xdr:row>97</xdr:row>
      <xdr:rowOff>98690</xdr:rowOff>
    </xdr:from>
    <xdr:to>
      <xdr:col>20</xdr:col>
      <xdr:colOff>751296</xdr:colOff>
      <xdr:row>115</xdr:row>
      <xdr:rowOff>51248</xdr:rowOff>
    </xdr:to>
    <xdr:graphicFrame macro="">
      <xdr:nvGraphicFramePr>
        <xdr:cNvPr id="9" name="Chart 8">
          <a:extLst>
            <a:ext uri="{FF2B5EF4-FFF2-40B4-BE49-F238E27FC236}">
              <a16:creationId xmlns:a16="http://schemas.microsoft.com/office/drawing/2014/main" id="{1348849B-C5D7-A0CB-0546-C18690B68A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300857</xdr:colOff>
      <xdr:row>60</xdr:row>
      <xdr:rowOff>46266</xdr:rowOff>
    </xdr:from>
    <xdr:to>
      <xdr:col>14</xdr:col>
      <xdr:colOff>835109</xdr:colOff>
      <xdr:row>78</xdr:row>
      <xdr:rowOff>114865</xdr:rowOff>
    </xdr:to>
    <xdr:graphicFrame macro="">
      <xdr:nvGraphicFramePr>
        <xdr:cNvPr id="10" name="Chart 9">
          <a:extLst>
            <a:ext uri="{FF2B5EF4-FFF2-40B4-BE49-F238E27FC236}">
              <a16:creationId xmlns:a16="http://schemas.microsoft.com/office/drawing/2014/main" id="{1388D2D0-76EF-462D-BEA4-E3A9A9C65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526362</xdr:colOff>
      <xdr:row>97</xdr:row>
      <xdr:rowOff>92801</xdr:rowOff>
    </xdr:from>
    <xdr:to>
      <xdr:col>14</xdr:col>
      <xdr:colOff>761284</xdr:colOff>
      <xdr:row>113</xdr:row>
      <xdr:rowOff>260934</xdr:rowOff>
    </xdr:to>
    <xdr:graphicFrame macro="">
      <xdr:nvGraphicFramePr>
        <xdr:cNvPr id="11" name="Chart 10">
          <a:extLst>
            <a:ext uri="{FF2B5EF4-FFF2-40B4-BE49-F238E27FC236}">
              <a16:creationId xmlns:a16="http://schemas.microsoft.com/office/drawing/2014/main" id="{639900E9-4206-47DF-ADBB-364A31BFA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196389</xdr:colOff>
      <xdr:row>60</xdr:row>
      <xdr:rowOff>56565</xdr:rowOff>
    </xdr:from>
    <xdr:to>
      <xdr:col>20</xdr:col>
      <xdr:colOff>981322</xdr:colOff>
      <xdr:row>78</xdr:row>
      <xdr:rowOff>9649</xdr:rowOff>
    </xdr:to>
    <xdr:graphicFrame macro="">
      <xdr:nvGraphicFramePr>
        <xdr:cNvPr id="12" name="Chart 11">
          <a:extLst>
            <a:ext uri="{FF2B5EF4-FFF2-40B4-BE49-F238E27FC236}">
              <a16:creationId xmlns:a16="http://schemas.microsoft.com/office/drawing/2014/main" id="{8094B173-1944-42A3-90B5-570809DEA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183280</xdr:colOff>
      <xdr:row>78</xdr:row>
      <xdr:rowOff>111078</xdr:rowOff>
    </xdr:from>
    <xdr:to>
      <xdr:col>20</xdr:col>
      <xdr:colOff>927506</xdr:colOff>
      <xdr:row>97</xdr:row>
      <xdr:rowOff>72201</xdr:rowOff>
    </xdr:to>
    <xdr:graphicFrame macro="">
      <xdr:nvGraphicFramePr>
        <xdr:cNvPr id="13" name="Chart 12">
          <a:extLst>
            <a:ext uri="{FF2B5EF4-FFF2-40B4-BE49-F238E27FC236}">
              <a16:creationId xmlns:a16="http://schemas.microsoft.com/office/drawing/2014/main" id="{354B1D5E-3539-48A8-BF06-0F9032C52D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22412</xdr:colOff>
      <xdr:row>0</xdr:row>
      <xdr:rowOff>123265</xdr:rowOff>
    </xdr:from>
    <xdr:to>
      <xdr:col>10</xdr:col>
      <xdr:colOff>224118</xdr:colOff>
      <xdr:row>7</xdr:row>
      <xdr:rowOff>44824</xdr:rowOff>
    </xdr:to>
    <xdr:sp macro="" textlink="">
      <xdr:nvSpPr>
        <xdr:cNvPr id="2" name="TextBox 1">
          <a:extLst>
            <a:ext uri="{FF2B5EF4-FFF2-40B4-BE49-F238E27FC236}">
              <a16:creationId xmlns:a16="http://schemas.microsoft.com/office/drawing/2014/main" id="{D618214C-EAFA-463A-AC4B-AA6F409842F2}"/>
            </a:ext>
          </a:extLst>
        </xdr:cNvPr>
        <xdr:cNvSpPr txBox="1"/>
      </xdr:nvSpPr>
      <xdr:spPr>
        <a:xfrm>
          <a:off x="537883" y="123265"/>
          <a:ext cx="4628029" cy="1255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endParaRPr lang="en-US" sz="1100" baseline="0"/>
        </a:p>
        <a:p>
          <a:endParaRPr lang="en-US" sz="1100"/>
        </a:p>
      </xdr:txBody>
    </xdr:sp>
    <xdr:clientData/>
  </xdr:twoCellAnchor>
  <xdr:twoCellAnchor>
    <xdr:from>
      <xdr:col>2</xdr:col>
      <xdr:colOff>347383</xdr:colOff>
      <xdr:row>9</xdr:row>
      <xdr:rowOff>11205</xdr:rowOff>
    </xdr:from>
    <xdr:to>
      <xdr:col>12</xdr:col>
      <xdr:colOff>134470</xdr:colOff>
      <xdr:row>12</xdr:row>
      <xdr:rowOff>156882</xdr:rowOff>
    </xdr:to>
    <xdr:sp macro="" textlink="">
      <xdr:nvSpPr>
        <xdr:cNvPr id="3" name="TextBox 2">
          <a:extLst>
            <a:ext uri="{FF2B5EF4-FFF2-40B4-BE49-F238E27FC236}">
              <a16:creationId xmlns:a16="http://schemas.microsoft.com/office/drawing/2014/main" id="{CC9F6AA5-BAA8-4A14-8D18-2D2BD5F2D296}"/>
            </a:ext>
          </a:extLst>
        </xdr:cNvPr>
        <xdr:cNvSpPr txBox="1"/>
      </xdr:nvSpPr>
      <xdr:spPr>
        <a:xfrm>
          <a:off x="12320308" y="449355"/>
          <a:ext cx="4597212" cy="717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Enter</a:t>
          </a:r>
          <a:r>
            <a:rPr lang="en-US" sz="1100" baseline="0"/>
            <a:t> the Pressure and Efficiency in the 'Fan' in Designbuilder. Look at the 'Equipment Summary' and Fan table output to check that the kW matches for the selected fans.</a:t>
          </a:r>
          <a:endParaRPr lang="en-US" sz="1100"/>
        </a:p>
      </xdr:txBody>
    </xdr:sp>
    <xdr:clientData/>
  </xdr:twoCellAnchor>
  <xdr:twoCellAnchor>
    <xdr:from>
      <xdr:col>2</xdr:col>
      <xdr:colOff>392206</xdr:colOff>
      <xdr:row>37</xdr:row>
      <xdr:rowOff>224119</xdr:rowOff>
    </xdr:from>
    <xdr:to>
      <xdr:col>12</xdr:col>
      <xdr:colOff>302559</xdr:colOff>
      <xdr:row>42</xdr:row>
      <xdr:rowOff>179294</xdr:rowOff>
    </xdr:to>
    <xdr:sp macro="" textlink="">
      <xdr:nvSpPr>
        <xdr:cNvPr id="4" name="TextBox 3">
          <a:extLst>
            <a:ext uri="{FF2B5EF4-FFF2-40B4-BE49-F238E27FC236}">
              <a16:creationId xmlns:a16="http://schemas.microsoft.com/office/drawing/2014/main" id="{13625243-64AA-4B6F-9546-63965B97C85E}"/>
            </a:ext>
          </a:extLst>
        </xdr:cNvPr>
        <xdr:cNvSpPr txBox="1"/>
      </xdr:nvSpPr>
      <xdr:spPr>
        <a:xfrm>
          <a:off x="12365131" y="5634319"/>
          <a:ext cx="4720478" cy="95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Enter</a:t>
          </a:r>
          <a:r>
            <a:rPr lang="en-US" sz="1100" baseline="0"/>
            <a:t> the Head (ft of H2O) and Efficiency in the 'Pump' in Designbuilder. Look at the 'Equipment Summary' and Pump table output to check that the kW matches for the selected pumps.</a:t>
          </a:r>
        </a:p>
        <a:p>
          <a:endParaRPr lang="en-US" sz="1100" baseline="0"/>
        </a:p>
        <a:p>
          <a:r>
            <a:rPr lang="en-US" sz="1100" baseline="0"/>
            <a:t>GPM can be found in 'Edit Plant Loop'</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9525</xdr:colOff>
      <xdr:row>1</xdr:row>
      <xdr:rowOff>9524</xdr:rowOff>
    </xdr:from>
    <xdr:to>
      <xdr:col>23</xdr:col>
      <xdr:colOff>247650</xdr:colOff>
      <xdr:row>23</xdr:row>
      <xdr:rowOff>85725</xdr:rowOff>
    </xdr:to>
    <xdr:graphicFrame macro="">
      <xdr:nvGraphicFramePr>
        <xdr:cNvPr id="2" name="Chart 1">
          <a:extLst>
            <a:ext uri="{FF2B5EF4-FFF2-40B4-BE49-F238E27FC236}">
              <a16:creationId xmlns:a16="http://schemas.microsoft.com/office/drawing/2014/main" id="{915E22C4-DD23-4001-9474-50C18263B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28014</xdr:colOff>
      <xdr:row>25</xdr:row>
      <xdr:rowOff>9525</xdr:rowOff>
    </xdr:from>
    <xdr:to>
      <xdr:col>23</xdr:col>
      <xdr:colOff>257175</xdr:colOff>
      <xdr:row>47</xdr:row>
      <xdr:rowOff>104775</xdr:rowOff>
    </xdr:to>
    <xdr:graphicFrame macro="">
      <xdr:nvGraphicFramePr>
        <xdr:cNvPr id="3" name="Chart 2">
          <a:extLst>
            <a:ext uri="{FF2B5EF4-FFF2-40B4-BE49-F238E27FC236}">
              <a16:creationId xmlns:a16="http://schemas.microsoft.com/office/drawing/2014/main" id="{A584E3DA-3966-4BA3-86BD-C36A0107A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9525</xdr:colOff>
      <xdr:row>1</xdr:row>
      <xdr:rowOff>9524</xdr:rowOff>
    </xdr:from>
    <xdr:to>
      <xdr:col>23</xdr:col>
      <xdr:colOff>247650</xdr:colOff>
      <xdr:row>23</xdr:row>
      <xdr:rowOff>85725</xdr:rowOff>
    </xdr:to>
    <xdr:graphicFrame macro="">
      <xdr:nvGraphicFramePr>
        <xdr:cNvPr id="2" name="Chart 1">
          <a:extLst>
            <a:ext uri="{FF2B5EF4-FFF2-40B4-BE49-F238E27FC236}">
              <a16:creationId xmlns:a16="http://schemas.microsoft.com/office/drawing/2014/main" id="{F12CC6B6-1791-4F73-9B89-8BE3D994E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28014</xdr:colOff>
      <xdr:row>25</xdr:row>
      <xdr:rowOff>9525</xdr:rowOff>
    </xdr:from>
    <xdr:to>
      <xdr:col>23</xdr:col>
      <xdr:colOff>257175</xdr:colOff>
      <xdr:row>47</xdr:row>
      <xdr:rowOff>104775</xdr:rowOff>
    </xdr:to>
    <xdr:graphicFrame macro="">
      <xdr:nvGraphicFramePr>
        <xdr:cNvPr id="3" name="Chart 2">
          <a:extLst>
            <a:ext uri="{FF2B5EF4-FFF2-40B4-BE49-F238E27FC236}">
              <a16:creationId xmlns:a16="http://schemas.microsoft.com/office/drawing/2014/main" id="{B1BF16A2-D460-4C88-B2D9-838F5AA22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9525</xdr:colOff>
      <xdr:row>1</xdr:row>
      <xdr:rowOff>9524</xdr:rowOff>
    </xdr:from>
    <xdr:to>
      <xdr:col>23</xdr:col>
      <xdr:colOff>247650</xdr:colOff>
      <xdr:row>23</xdr:row>
      <xdr:rowOff>85725</xdr:rowOff>
    </xdr:to>
    <xdr:graphicFrame macro="">
      <xdr:nvGraphicFramePr>
        <xdr:cNvPr id="3" name="Chart 2">
          <a:extLst>
            <a:ext uri="{FF2B5EF4-FFF2-40B4-BE49-F238E27FC236}">
              <a16:creationId xmlns:a16="http://schemas.microsoft.com/office/drawing/2014/main" id="{4BD8147B-6841-4D7C-A0AE-6F4AEF8155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28014</xdr:colOff>
      <xdr:row>25</xdr:row>
      <xdr:rowOff>9525</xdr:rowOff>
    </xdr:from>
    <xdr:to>
      <xdr:col>23</xdr:col>
      <xdr:colOff>257175</xdr:colOff>
      <xdr:row>47</xdr:row>
      <xdr:rowOff>104775</xdr:rowOff>
    </xdr:to>
    <xdr:graphicFrame macro="">
      <xdr:nvGraphicFramePr>
        <xdr:cNvPr id="4" name="Chart 3">
          <a:extLst>
            <a:ext uri="{FF2B5EF4-FFF2-40B4-BE49-F238E27FC236}">
              <a16:creationId xmlns:a16="http://schemas.microsoft.com/office/drawing/2014/main" id="{0F4E0FE6-A795-4973-A811-7E1491966A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60476</xdr:colOff>
      <xdr:row>55</xdr:row>
      <xdr:rowOff>70445</xdr:rowOff>
    </xdr:from>
    <xdr:to>
      <xdr:col>26</xdr:col>
      <xdr:colOff>609537</xdr:colOff>
      <xdr:row>70</xdr:row>
      <xdr:rowOff>148441</xdr:rowOff>
    </xdr:to>
    <xdr:pic>
      <xdr:nvPicPr>
        <xdr:cNvPr id="80" name="Picture 79">
          <a:extLst>
            <a:ext uri="{FF2B5EF4-FFF2-40B4-BE49-F238E27FC236}">
              <a16:creationId xmlns:a16="http://schemas.microsoft.com/office/drawing/2014/main" id="{C0598701-5D01-A614-05C5-DA1E080A5914}"/>
            </a:ext>
          </a:extLst>
        </xdr:cNvPr>
        <xdr:cNvPicPr>
          <a:picLocks noChangeAspect="1"/>
        </xdr:cNvPicPr>
      </xdr:nvPicPr>
      <xdr:blipFill>
        <a:blip xmlns:r="http://schemas.openxmlformats.org/officeDocument/2006/relationships" r:embed="rId1"/>
        <a:stretch>
          <a:fillRect/>
        </a:stretch>
      </xdr:blipFill>
      <xdr:spPr>
        <a:xfrm>
          <a:off x="13799567" y="8971441"/>
          <a:ext cx="3820273" cy="2469555"/>
        </a:xfrm>
        <a:prstGeom prst="rect">
          <a:avLst/>
        </a:prstGeom>
      </xdr:spPr>
    </xdr:pic>
    <xdr:clientData/>
  </xdr:twoCellAnchor>
  <xdr:twoCellAnchor editAs="oneCell">
    <xdr:from>
      <xdr:col>1</xdr:col>
      <xdr:colOff>606744</xdr:colOff>
      <xdr:row>72</xdr:row>
      <xdr:rowOff>28354</xdr:rowOff>
    </xdr:from>
    <xdr:to>
      <xdr:col>8</xdr:col>
      <xdr:colOff>571053</xdr:colOff>
      <xdr:row>87</xdr:row>
      <xdr:rowOff>38447</xdr:rowOff>
    </xdr:to>
    <xdr:pic>
      <xdr:nvPicPr>
        <xdr:cNvPr id="79" name="Picture 78">
          <a:extLst>
            <a:ext uri="{FF2B5EF4-FFF2-40B4-BE49-F238E27FC236}">
              <a16:creationId xmlns:a16="http://schemas.microsoft.com/office/drawing/2014/main" id="{985E879F-B1AC-2AB1-D89B-272F5E2796BD}"/>
            </a:ext>
          </a:extLst>
        </xdr:cNvPr>
        <xdr:cNvPicPr>
          <a:picLocks noChangeAspect="1"/>
        </xdr:cNvPicPr>
      </xdr:nvPicPr>
      <xdr:blipFill>
        <a:blip xmlns:r="http://schemas.openxmlformats.org/officeDocument/2006/relationships" r:embed="rId2"/>
        <a:stretch>
          <a:fillRect/>
        </a:stretch>
      </xdr:blipFill>
      <xdr:spPr>
        <a:xfrm>
          <a:off x="1258103" y="11699267"/>
          <a:ext cx="4523817" cy="2419228"/>
        </a:xfrm>
        <a:prstGeom prst="rect">
          <a:avLst/>
        </a:prstGeom>
      </xdr:spPr>
    </xdr:pic>
    <xdr:clientData/>
  </xdr:twoCellAnchor>
  <xdr:twoCellAnchor editAs="oneCell">
    <xdr:from>
      <xdr:col>1</xdr:col>
      <xdr:colOff>526439</xdr:colOff>
      <xdr:row>53</xdr:row>
      <xdr:rowOff>147180</xdr:rowOff>
    </xdr:from>
    <xdr:to>
      <xdr:col>8</xdr:col>
      <xdr:colOff>231989</xdr:colOff>
      <xdr:row>69</xdr:row>
      <xdr:rowOff>1919</xdr:rowOff>
    </xdr:to>
    <xdr:pic>
      <xdr:nvPicPr>
        <xdr:cNvPr id="78" name="Picture 77">
          <a:extLst>
            <a:ext uri="{FF2B5EF4-FFF2-40B4-BE49-F238E27FC236}">
              <a16:creationId xmlns:a16="http://schemas.microsoft.com/office/drawing/2014/main" id="{021CC380-B98E-D086-681D-6111F347F8C9}"/>
            </a:ext>
          </a:extLst>
        </xdr:cNvPr>
        <xdr:cNvPicPr>
          <a:picLocks noChangeAspect="1"/>
        </xdr:cNvPicPr>
      </xdr:nvPicPr>
      <xdr:blipFill>
        <a:blip xmlns:r="http://schemas.openxmlformats.org/officeDocument/2006/relationships" r:embed="rId3"/>
        <a:stretch>
          <a:fillRect/>
        </a:stretch>
      </xdr:blipFill>
      <xdr:spPr>
        <a:xfrm>
          <a:off x="1177798" y="8766524"/>
          <a:ext cx="4265058" cy="2418332"/>
        </a:xfrm>
        <a:prstGeom prst="rect">
          <a:avLst/>
        </a:prstGeom>
      </xdr:spPr>
    </xdr:pic>
    <xdr:clientData/>
  </xdr:twoCellAnchor>
  <xdr:twoCellAnchor editAs="oneCell">
    <xdr:from>
      <xdr:col>6</xdr:col>
      <xdr:colOff>624760</xdr:colOff>
      <xdr:row>0</xdr:row>
      <xdr:rowOff>0</xdr:rowOff>
    </xdr:from>
    <xdr:to>
      <xdr:col>14</xdr:col>
      <xdr:colOff>559916</xdr:colOff>
      <xdr:row>20</xdr:row>
      <xdr:rowOff>59870</xdr:rowOff>
    </xdr:to>
    <xdr:pic>
      <xdr:nvPicPr>
        <xdr:cNvPr id="2" name="Picture 1">
          <a:extLst>
            <a:ext uri="{FF2B5EF4-FFF2-40B4-BE49-F238E27FC236}">
              <a16:creationId xmlns:a16="http://schemas.microsoft.com/office/drawing/2014/main" id="{5C0BDC70-8AA9-33BD-0E10-1E6BD1F28309}"/>
            </a:ext>
          </a:extLst>
        </xdr:cNvPr>
        <xdr:cNvPicPr>
          <a:picLocks noChangeAspect="1"/>
        </xdr:cNvPicPr>
      </xdr:nvPicPr>
      <xdr:blipFill rotWithShape="1">
        <a:blip xmlns:r="http://schemas.openxmlformats.org/officeDocument/2006/relationships" r:embed="rId4"/>
        <a:srcRect l="547" t="1554" r="10934" b="1474"/>
        <a:stretch/>
      </xdr:blipFill>
      <xdr:spPr>
        <a:xfrm>
          <a:off x="4531955" y="0"/>
          <a:ext cx="5144747" cy="3286708"/>
        </a:xfrm>
        <a:prstGeom prst="rect">
          <a:avLst/>
        </a:prstGeom>
      </xdr:spPr>
    </xdr:pic>
    <xdr:clientData/>
  </xdr:twoCellAnchor>
  <xdr:twoCellAnchor editAs="oneCell">
    <xdr:from>
      <xdr:col>7</xdr:col>
      <xdr:colOff>521095</xdr:colOff>
      <xdr:row>36</xdr:row>
      <xdr:rowOff>135655</xdr:rowOff>
    </xdr:from>
    <xdr:to>
      <xdr:col>13</xdr:col>
      <xdr:colOff>511735</xdr:colOff>
      <xdr:row>51</xdr:row>
      <xdr:rowOff>120619</xdr:rowOff>
    </xdr:to>
    <xdr:pic>
      <xdr:nvPicPr>
        <xdr:cNvPr id="6" name="Picture 5">
          <a:extLst>
            <a:ext uri="{FF2B5EF4-FFF2-40B4-BE49-F238E27FC236}">
              <a16:creationId xmlns:a16="http://schemas.microsoft.com/office/drawing/2014/main" id="{0BE0AEB5-AB94-930A-F204-195D43E652D7}"/>
            </a:ext>
          </a:extLst>
        </xdr:cNvPr>
        <xdr:cNvPicPr>
          <a:picLocks noChangeAspect="1"/>
        </xdr:cNvPicPr>
      </xdr:nvPicPr>
      <xdr:blipFill>
        <a:blip xmlns:r="http://schemas.openxmlformats.org/officeDocument/2006/relationships" r:embed="rId5"/>
        <a:stretch>
          <a:fillRect/>
        </a:stretch>
      </xdr:blipFill>
      <xdr:spPr>
        <a:xfrm>
          <a:off x="5074510" y="5970132"/>
          <a:ext cx="3893566" cy="2407699"/>
        </a:xfrm>
        <a:prstGeom prst="rect">
          <a:avLst/>
        </a:prstGeom>
      </xdr:spPr>
    </xdr:pic>
    <xdr:clientData/>
  </xdr:twoCellAnchor>
  <xdr:twoCellAnchor editAs="oneCell">
    <xdr:from>
      <xdr:col>8</xdr:col>
      <xdr:colOff>56462</xdr:colOff>
      <xdr:row>19</xdr:row>
      <xdr:rowOff>185540</xdr:rowOff>
    </xdr:from>
    <xdr:to>
      <xdr:col>13</xdr:col>
      <xdr:colOff>455406</xdr:colOff>
      <xdr:row>34</xdr:row>
      <xdr:rowOff>43563</xdr:rowOff>
    </xdr:to>
    <xdr:pic>
      <xdr:nvPicPr>
        <xdr:cNvPr id="7" name="Picture 6">
          <a:extLst>
            <a:ext uri="{FF2B5EF4-FFF2-40B4-BE49-F238E27FC236}">
              <a16:creationId xmlns:a16="http://schemas.microsoft.com/office/drawing/2014/main" id="{277CBE61-DC0A-453B-A782-3F140F7E8C25}"/>
            </a:ext>
          </a:extLst>
        </xdr:cNvPr>
        <xdr:cNvPicPr>
          <a:picLocks noChangeAspect="1"/>
        </xdr:cNvPicPr>
      </xdr:nvPicPr>
      <xdr:blipFill>
        <a:blip xmlns:r="http://schemas.openxmlformats.org/officeDocument/2006/relationships" r:embed="rId6"/>
        <a:stretch>
          <a:fillRect/>
        </a:stretch>
      </xdr:blipFill>
      <xdr:spPr>
        <a:xfrm>
          <a:off x="5260364" y="3278675"/>
          <a:ext cx="3651383" cy="2280759"/>
        </a:xfrm>
        <a:prstGeom prst="rect">
          <a:avLst/>
        </a:prstGeom>
      </xdr:spPr>
    </xdr:pic>
    <xdr:clientData/>
  </xdr:twoCellAnchor>
  <xdr:twoCellAnchor editAs="oneCell">
    <xdr:from>
      <xdr:col>2</xdr:col>
      <xdr:colOff>127706</xdr:colOff>
      <xdr:row>37</xdr:row>
      <xdr:rowOff>43893</xdr:rowOff>
    </xdr:from>
    <xdr:to>
      <xdr:col>7</xdr:col>
      <xdr:colOff>468072</xdr:colOff>
      <xdr:row>51</xdr:row>
      <xdr:rowOff>69938</xdr:rowOff>
    </xdr:to>
    <xdr:pic>
      <xdr:nvPicPr>
        <xdr:cNvPr id="8" name="Picture 7">
          <a:extLst>
            <a:ext uri="{FF2B5EF4-FFF2-40B4-BE49-F238E27FC236}">
              <a16:creationId xmlns:a16="http://schemas.microsoft.com/office/drawing/2014/main" id="{D7079A1E-1870-EFDA-9761-AD7880B1E4C9}"/>
            </a:ext>
          </a:extLst>
        </xdr:cNvPr>
        <xdr:cNvPicPr>
          <a:picLocks noChangeAspect="1"/>
        </xdr:cNvPicPr>
      </xdr:nvPicPr>
      <xdr:blipFill>
        <a:blip xmlns:r="http://schemas.openxmlformats.org/officeDocument/2006/relationships" r:embed="rId7"/>
        <a:stretch>
          <a:fillRect/>
        </a:stretch>
      </xdr:blipFill>
      <xdr:spPr>
        <a:xfrm>
          <a:off x="1428682" y="6070861"/>
          <a:ext cx="3592805" cy="2256289"/>
        </a:xfrm>
        <a:prstGeom prst="rect">
          <a:avLst/>
        </a:prstGeom>
      </xdr:spPr>
    </xdr:pic>
    <xdr:clientData/>
  </xdr:twoCellAnchor>
  <xdr:twoCellAnchor editAs="oneCell">
    <xdr:from>
      <xdr:col>2</xdr:col>
      <xdr:colOff>13275</xdr:colOff>
      <xdr:row>19</xdr:row>
      <xdr:rowOff>85359</xdr:rowOff>
    </xdr:from>
    <xdr:to>
      <xdr:col>8</xdr:col>
      <xdr:colOff>11635</xdr:colOff>
      <xdr:row>34</xdr:row>
      <xdr:rowOff>89566</xdr:rowOff>
    </xdr:to>
    <xdr:pic>
      <xdr:nvPicPr>
        <xdr:cNvPr id="9" name="Picture 8">
          <a:extLst>
            <a:ext uri="{FF2B5EF4-FFF2-40B4-BE49-F238E27FC236}">
              <a16:creationId xmlns:a16="http://schemas.microsoft.com/office/drawing/2014/main" id="{FC71EA8D-E6C2-EB42-CB0A-1956897A3A82}"/>
            </a:ext>
          </a:extLst>
        </xdr:cNvPr>
        <xdr:cNvPicPr>
          <a:picLocks noChangeAspect="1"/>
        </xdr:cNvPicPr>
      </xdr:nvPicPr>
      <xdr:blipFill>
        <a:blip xmlns:r="http://schemas.openxmlformats.org/officeDocument/2006/relationships" r:embed="rId8"/>
        <a:stretch>
          <a:fillRect/>
        </a:stretch>
      </xdr:blipFill>
      <xdr:spPr>
        <a:xfrm>
          <a:off x="1314251" y="3178494"/>
          <a:ext cx="3901286" cy="2426943"/>
        </a:xfrm>
        <a:prstGeom prst="rect">
          <a:avLst/>
        </a:prstGeom>
      </xdr:spPr>
    </xdr:pic>
    <xdr:clientData/>
  </xdr:twoCellAnchor>
  <xdr:twoCellAnchor editAs="oneCell">
    <xdr:from>
      <xdr:col>13</xdr:col>
      <xdr:colOff>559177</xdr:colOff>
      <xdr:row>19</xdr:row>
      <xdr:rowOff>153732</xdr:rowOff>
    </xdr:from>
    <xdr:to>
      <xdr:col>19</xdr:col>
      <xdr:colOff>292499</xdr:colOff>
      <xdr:row>34</xdr:row>
      <xdr:rowOff>11755</xdr:rowOff>
    </xdr:to>
    <xdr:pic>
      <xdr:nvPicPr>
        <xdr:cNvPr id="10" name="Picture 9">
          <a:extLst>
            <a:ext uri="{FF2B5EF4-FFF2-40B4-BE49-F238E27FC236}">
              <a16:creationId xmlns:a16="http://schemas.microsoft.com/office/drawing/2014/main" id="{4522E523-D056-A32C-7C6E-DCC61DD5DA09}"/>
            </a:ext>
          </a:extLst>
        </xdr:cNvPr>
        <xdr:cNvPicPr>
          <a:picLocks noChangeAspect="1"/>
        </xdr:cNvPicPr>
      </xdr:nvPicPr>
      <xdr:blipFill>
        <a:blip xmlns:r="http://schemas.openxmlformats.org/officeDocument/2006/relationships" r:embed="rId9"/>
        <a:stretch>
          <a:fillRect/>
        </a:stretch>
      </xdr:blipFill>
      <xdr:spPr>
        <a:xfrm>
          <a:off x="9015518" y="3246867"/>
          <a:ext cx="3636249" cy="2280759"/>
        </a:xfrm>
        <a:prstGeom prst="rect">
          <a:avLst/>
        </a:prstGeom>
      </xdr:spPr>
    </xdr:pic>
    <xdr:clientData/>
  </xdr:twoCellAnchor>
  <xdr:twoCellAnchor editAs="oneCell">
    <xdr:from>
      <xdr:col>13</xdr:col>
      <xdr:colOff>528044</xdr:colOff>
      <xdr:row>37</xdr:row>
      <xdr:rowOff>40101</xdr:rowOff>
    </xdr:from>
    <xdr:to>
      <xdr:col>19</xdr:col>
      <xdr:colOff>359050</xdr:colOff>
      <xdr:row>51</xdr:row>
      <xdr:rowOff>128161</xdr:rowOff>
    </xdr:to>
    <xdr:pic>
      <xdr:nvPicPr>
        <xdr:cNvPr id="11" name="Picture 10">
          <a:extLst>
            <a:ext uri="{FF2B5EF4-FFF2-40B4-BE49-F238E27FC236}">
              <a16:creationId xmlns:a16="http://schemas.microsoft.com/office/drawing/2014/main" id="{880AB745-0036-B970-E7CC-6311A0EA041C}"/>
            </a:ext>
          </a:extLst>
        </xdr:cNvPr>
        <xdr:cNvPicPr>
          <a:picLocks noChangeAspect="1"/>
        </xdr:cNvPicPr>
      </xdr:nvPicPr>
      <xdr:blipFill>
        <a:blip xmlns:r="http://schemas.openxmlformats.org/officeDocument/2006/relationships" r:embed="rId10"/>
        <a:stretch>
          <a:fillRect/>
        </a:stretch>
      </xdr:blipFill>
      <xdr:spPr>
        <a:xfrm>
          <a:off x="8984385" y="6067069"/>
          <a:ext cx="3733933" cy="2318304"/>
        </a:xfrm>
        <a:prstGeom prst="rect">
          <a:avLst/>
        </a:prstGeom>
      </xdr:spPr>
    </xdr:pic>
    <xdr:clientData/>
  </xdr:twoCellAnchor>
  <xdr:twoCellAnchor>
    <xdr:from>
      <xdr:col>4</xdr:col>
      <xdr:colOff>248044</xdr:colOff>
      <xdr:row>22</xdr:row>
      <xdr:rowOff>141601</xdr:rowOff>
    </xdr:from>
    <xdr:to>
      <xdr:col>5</xdr:col>
      <xdr:colOff>632667</xdr:colOff>
      <xdr:row>25</xdr:row>
      <xdr:rowOff>60060</xdr:rowOff>
    </xdr:to>
    <xdr:sp macro="" textlink="">
      <xdr:nvSpPr>
        <xdr:cNvPr id="12" name="TextBox 26">
          <a:extLst>
            <a:ext uri="{FF2B5EF4-FFF2-40B4-BE49-F238E27FC236}">
              <a16:creationId xmlns:a16="http://schemas.microsoft.com/office/drawing/2014/main" id="{0015B2E8-F2A3-EB76-9939-C14769004E03}"/>
            </a:ext>
          </a:extLst>
        </xdr:cNvPr>
        <xdr:cNvSpPr txBox="1"/>
      </xdr:nvSpPr>
      <xdr:spPr>
        <a:xfrm>
          <a:off x="2849995" y="3745834"/>
          <a:ext cx="1035111" cy="39636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Ave = 70</a:t>
          </a:r>
        </a:p>
      </xdr:txBody>
    </xdr:sp>
    <xdr:clientData/>
  </xdr:twoCellAnchor>
  <xdr:twoCellAnchor>
    <xdr:from>
      <xdr:col>11</xdr:col>
      <xdr:colOff>351676</xdr:colOff>
      <xdr:row>22</xdr:row>
      <xdr:rowOff>141601</xdr:rowOff>
    </xdr:from>
    <xdr:to>
      <xdr:col>13</xdr:col>
      <xdr:colOff>83298</xdr:colOff>
      <xdr:row>25</xdr:row>
      <xdr:rowOff>60060</xdr:rowOff>
    </xdr:to>
    <xdr:sp macro="" textlink="">
      <xdr:nvSpPr>
        <xdr:cNvPr id="13" name="TextBox 27">
          <a:extLst>
            <a:ext uri="{FF2B5EF4-FFF2-40B4-BE49-F238E27FC236}">
              <a16:creationId xmlns:a16="http://schemas.microsoft.com/office/drawing/2014/main" id="{EB947753-337D-C9B0-EF81-554833B4EF6F}"/>
            </a:ext>
          </a:extLst>
        </xdr:cNvPr>
        <xdr:cNvSpPr txBox="1"/>
      </xdr:nvSpPr>
      <xdr:spPr>
        <a:xfrm>
          <a:off x="7507042" y="3745834"/>
          <a:ext cx="1032597" cy="39636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Ave = 15</a:t>
          </a:r>
        </a:p>
      </xdr:txBody>
    </xdr:sp>
    <xdr:clientData/>
  </xdr:twoCellAnchor>
  <xdr:twoCellAnchor>
    <xdr:from>
      <xdr:col>17</xdr:col>
      <xdr:colOff>40479</xdr:colOff>
      <xdr:row>22</xdr:row>
      <xdr:rowOff>141601</xdr:rowOff>
    </xdr:from>
    <xdr:to>
      <xdr:col>18</xdr:col>
      <xdr:colOff>425104</xdr:colOff>
      <xdr:row>25</xdr:row>
      <xdr:rowOff>60060</xdr:rowOff>
    </xdr:to>
    <xdr:sp macro="" textlink="">
      <xdr:nvSpPr>
        <xdr:cNvPr id="14" name="TextBox 28">
          <a:extLst>
            <a:ext uri="{FF2B5EF4-FFF2-40B4-BE49-F238E27FC236}">
              <a16:creationId xmlns:a16="http://schemas.microsoft.com/office/drawing/2014/main" id="{B453699D-2BA4-E45A-F012-9CF50C53EDA7}"/>
            </a:ext>
          </a:extLst>
        </xdr:cNvPr>
        <xdr:cNvSpPr txBox="1"/>
      </xdr:nvSpPr>
      <xdr:spPr>
        <a:xfrm>
          <a:off x="11098772" y="3745834"/>
          <a:ext cx="1035112" cy="39636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Ave = 85</a:t>
          </a:r>
        </a:p>
      </xdr:txBody>
    </xdr:sp>
    <xdr:clientData/>
  </xdr:twoCellAnchor>
  <xdr:twoCellAnchor>
    <xdr:from>
      <xdr:col>11</xdr:col>
      <xdr:colOff>232996</xdr:colOff>
      <xdr:row>39</xdr:row>
      <xdr:rowOff>144321</xdr:rowOff>
    </xdr:from>
    <xdr:to>
      <xdr:col>12</xdr:col>
      <xdr:colOff>615105</xdr:colOff>
      <xdr:row>42</xdr:row>
      <xdr:rowOff>55369</xdr:rowOff>
    </xdr:to>
    <xdr:sp macro="" textlink="">
      <xdr:nvSpPr>
        <xdr:cNvPr id="15" name="TextBox 29">
          <a:extLst>
            <a:ext uri="{FF2B5EF4-FFF2-40B4-BE49-F238E27FC236}">
              <a16:creationId xmlns:a16="http://schemas.microsoft.com/office/drawing/2014/main" id="{2928E5FE-8383-F1F8-31D8-7C542A7CB5A8}"/>
            </a:ext>
          </a:extLst>
        </xdr:cNvPr>
        <xdr:cNvSpPr txBox="1"/>
      </xdr:nvSpPr>
      <xdr:spPr>
        <a:xfrm>
          <a:off x="7388362" y="6489895"/>
          <a:ext cx="1032597" cy="38895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Ave = 25</a:t>
          </a:r>
        </a:p>
      </xdr:txBody>
    </xdr:sp>
    <xdr:clientData/>
  </xdr:twoCellAnchor>
  <xdr:twoCellAnchor>
    <xdr:from>
      <xdr:col>16</xdr:col>
      <xdr:colOff>505113</xdr:colOff>
      <xdr:row>39</xdr:row>
      <xdr:rowOff>144321</xdr:rowOff>
    </xdr:from>
    <xdr:to>
      <xdr:col>18</xdr:col>
      <xdr:colOff>239250</xdr:colOff>
      <xdr:row>42</xdr:row>
      <xdr:rowOff>55369</xdr:rowOff>
    </xdr:to>
    <xdr:sp macro="" textlink="">
      <xdr:nvSpPr>
        <xdr:cNvPr id="16" name="TextBox 30">
          <a:extLst>
            <a:ext uri="{FF2B5EF4-FFF2-40B4-BE49-F238E27FC236}">
              <a16:creationId xmlns:a16="http://schemas.microsoft.com/office/drawing/2014/main" id="{6057CC24-EAE7-D809-D60F-23581FE47711}"/>
            </a:ext>
          </a:extLst>
        </xdr:cNvPr>
        <xdr:cNvSpPr txBox="1"/>
      </xdr:nvSpPr>
      <xdr:spPr>
        <a:xfrm>
          <a:off x="10912918" y="6489895"/>
          <a:ext cx="1035112" cy="38895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Ave = 33</a:t>
          </a:r>
        </a:p>
      </xdr:txBody>
    </xdr:sp>
    <xdr:clientData/>
  </xdr:twoCellAnchor>
  <xdr:twoCellAnchor>
    <xdr:from>
      <xdr:col>4</xdr:col>
      <xdr:colOff>62190</xdr:colOff>
      <xdr:row>39</xdr:row>
      <xdr:rowOff>144321</xdr:rowOff>
    </xdr:from>
    <xdr:to>
      <xdr:col>5</xdr:col>
      <xdr:colOff>446813</xdr:colOff>
      <xdr:row>42</xdr:row>
      <xdr:rowOff>55369</xdr:rowOff>
    </xdr:to>
    <xdr:sp macro="" textlink="">
      <xdr:nvSpPr>
        <xdr:cNvPr id="17" name="TextBox 31">
          <a:extLst>
            <a:ext uri="{FF2B5EF4-FFF2-40B4-BE49-F238E27FC236}">
              <a16:creationId xmlns:a16="http://schemas.microsoft.com/office/drawing/2014/main" id="{AAB7D97C-F876-BC67-C118-82303E6F9473}"/>
            </a:ext>
          </a:extLst>
        </xdr:cNvPr>
        <xdr:cNvSpPr txBox="1"/>
      </xdr:nvSpPr>
      <xdr:spPr>
        <a:xfrm>
          <a:off x="2664141" y="6489895"/>
          <a:ext cx="1035111" cy="38895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Ave = 10</a:t>
          </a:r>
        </a:p>
      </xdr:txBody>
    </xdr:sp>
    <xdr:clientData/>
  </xdr:twoCellAnchor>
  <xdr:twoCellAnchor>
    <xdr:from>
      <xdr:col>2</xdr:col>
      <xdr:colOff>302798</xdr:colOff>
      <xdr:row>55</xdr:row>
      <xdr:rowOff>57605</xdr:rowOff>
    </xdr:from>
    <xdr:to>
      <xdr:col>4</xdr:col>
      <xdr:colOff>105666</xdr:colOff>
      <xdr:row>57</xdr:row>
      <xdr:rowOff>50227</xdr:rowOff>
    </xdr:to>
    <xdr:sp macro="" textlink="">
      <xdr:nvSpPr>
        <xdr:cNvPr id="24" name="TextBox 9">
          <a:extLst>
            <a:ext uri="{FF2B5EF4-FFF2-40B4-BE49-F238E27FC236}">
              <a16:creationId xmlns:a16="http://schemas.microsoft.com/office/drawing/2014/main" id="{4DB1F436-E2CB-23ED-8293-7A675092D82B}"/>
            </a:ext>
          </a:extLst>
        </xdr:cNvPr>
        <xdr:cNvSpPr txBox="1"/>
      </xdr:nvSpPr>
      <xdr:spPr>
        <a:xfrm>
          <a:off x="1611283" y="8958601"/>
          <a:ext cx="1111353" cy="31149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Ave: R-12</a:t>
          </a:r>
        </a:p>
      </xdr:txBody>
    </xdr:sp>
    <xdr:clientData/>
  </xdr:twoCellAnchor>
  <xdr:twoCellAnchor>
    <xdr:from>
      <xdr:col>4</xdr:col>
      <xdr:colOff>253112</xdr:colOff>
      <xdr:row>55</xdr:row>
      <xdr:rowOff>57605</xdr:rowOff>
    </xdr:from>
    <xdr:to>
      <xdr:col>6</xdr:col>
      <xdr:colOff>205229</xdr:colOff>
      <xdr:row>57</xdr:row>
      <xdr:rowOff>50227</xdr:rowOff>
    </xdr:to>
    <xdr:sp macro="" textlink="">
      <xdr:nvSpPr>
        <xdr:cNvPr id="25" name="TextBox 10">
          <a:extLst>
            <a:ext uri="{FF2B5EF4-FFF2-40B4-BE49-F238E27FC236}">
              <a16:creationId xmlns:a16="http://schemas.microsoft.com/office/drawing/2014/main" id="{2007ED92-5D76-4756-2517-010486168B13}"/>
            </a:ext>
          </a:extLst>
        </xdr:cNvPr>
        <xdr:cNvSpPr txBox="1"/>
      </xdr:nvSpPr>
      <xdr:spPr>
        <a:xfrm>
          <a:off x="2870082" y="8958601"/>
          <a:ext cx="1260602" cy="31149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Ave: R-11.7</a:t>
          </a:r>
        </a:p>
      </xdr:txBody>
    </xdr:sp>
    <xdr:clientData/>
  </xdr:twoCellAnchor>
  <xdr:twoCellAnchor>
    <xdr:from>
      <xdr:col>6</xdr:col>
      <xdr:colOff>553696</xdr:colOff>
      <xdr:row>55</xdr:row>
      <xdr:rowOff>57605</xdr:rowOff>
    </xdr:from>
    <xdr:to>
      <xdr:col>8</xdr:col>
      <xdr:colOff>537112</xdr:colOff>
      <xdr:row>57</xdr:row>
      <xdr:rowOff>50227</xdr:rowOff>
    </xdr:to>
    <xdr:sp macro="" textlink="">
      <xdr:nvSpPr>
        <xdr:cNvPr id="26" name="TextBox 11">
          <a:extLst>
            <a:ext uri="{FF2B5EF4-FFF2-40B4-BE49-F238E27FC236}">
              <a16:creationId xmlns:a16="http://schemas.microsoft.com/office/drawing/2014/main" id="{EA5B632D-00F2-D416-86B5-27938974F234}"/>
            </a:ext>
          </a:extLst>
        </xdr:cNvPr>
        <xdr:cNvSpPr txBox="1"/>
      </xdr:nvSpPr>
      <xdr:spPr>
        <a:xfrm>
          <a:off x="4479151" y="8958601"/>
          <a:ext cx="1291900" cy="31149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Ave: R-11.5</a:t>
          </a:r>
        </a:p>
      </xdr:txBody>
    </xdr:sp>
    <xdr:clientData/>
  </xdr:twoCellAnchor>
  <xdr:twoCellAnchor>
    <xdr:from>
      <xdr:col>2</xdr:col>
      <xdr:colOff>410963</xdr:colOff>
      <xdr:row>73</xdr:row>
      <xdr:rowOff>131943</xdr:rowOff>
    </xdr:from>
    <xdr:to>
      <xdr:col>4</xdr:col>
      <xdr:colOff>487743</xdr:colOff>
      <xdr:row>75</xdr:row>
      <xdr:rowOff>126512</xdr:rowOff>
    </xdr:to>
    <xdr:sp macro="" textlink="">
      <xdr:nvSpPr>
        <xdr:cNvPr id="31" name="TextBox 9">
          <a:extLst>
            <a:ext uri="{FF2B5EF4-FFF2-40B4-BE49-F238E27FC236}">
              <a16:creationId xmlns:a16="http://schemas.microsoft.com/office/drawing/2014/main" id="{E0408D8D-4D55-3CF6-1AF5-749EF47F8BC3}"/>
            </a:ext>
          </a:extLst>
        </xdr:cNvPr>
        <xdr:cNvSpPr txBox="1"/>
      </xdr:nvSpPr>
      <xdr:spPr>
        <a:xfrm>
          <a:off x="1720005" y="11837530"/>
          <a:ext cx="1385822" cy="31149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Ave: R-37</a:t>
          </a:r>
        </a:p>
      </xdr:txBody>
    </xdr:sp>
    <xdr:clientData/>
  </xdr:twoCellAnchor>
  <xdr:twoCellAnchor>
    <xdr:from>
      <xdr:col>4</xdr:col>
      <xdr:colOff>544529</xdr:colOff>
      <xdr:row>73</xdr:row>
      <xdr:rowOff>131943</xdr:rowOff>
    </xdr:from>
    <xdr:to>
      <xdr:col>6</xdr:col>
      <xdr:colOff>629022</xdr:colOff>
      <xdr:row>75</xdr:row>
      <xdr:rowOff>126512</xdr:rowOff>
    </xdr:to>
    <xdr:sp macro="" textlink="">
      <xdr:nvSpPr>
        <xdr:cNvPr id="32" name="TextBox 10">
          <a:extLst>
            <a:ext uri="{FF2B5EF4-FFF2-40B4-BE49-F238E27FC236}">
              <a16:creationId xmlns:a16="http://schemas.microsoft.com/office/drawing/2014/main" id="{882D5F19-581E-164D-2AD8-8F39F4790C8D}"/>
            </a:ext>
          </a:extLst>
        </xdr:cNvPr>
        <xdr:cNvSpPr txBox="1"/>
      </xdr:nvSpPr>
      <xdr:spPr>
        <a:xfrm>
          <a:off x="3162613" y="11837530"/>
          <a:ext cx="1393534" cy="31149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Ave: R-28.6</a:t>
          </a:r>
        </a:p>
      </xdr:txBody>
    </xdr:sp>
    <xdr:clientData/>
  </xdr:twoCellAnchor>
  <xdr:twoCellAnchor>
    <xdr:from>
      <xdr:col>7</xdr:col>
      <xdr:colOff>11373</xdr:colOff>
      <xdr:row>73</xdr:row>
      <xdr:rowOff>131943</xdr:rowOff>
    </xdr:from>
    <xdr:to>
      <xdr:col>9</xdr:col>
      <xdr:colOff>95870</xdr:colOff>
      <xdr:row>75</xdr:row>
      <xdr:rowOff>126512</xdr:rowOff>
    </xdr:to>
    <xdr:sp macro="" textlink="">
      <xdr:nvSpPr>
        <xdr:cNvPr id="33" name="TextBox 11">
          <a:extLst>
            <a:ext uri="{FF2B5EF4-FFF2-40B4-BE49-F238E27FC236}">
              <a16:creationId xmlns:a16="http://schemas.microsoft.com/office/drawing/2014/main" id="{4BE92B24-8D6A-3C7C-B17E-E121DBAE288A}"/>
            </a:ext>
          </a:extLst>
        </xdr:cNvPr>
        <xdr:cNvSpPr txBox="1"/>
      </xdr:nvSpPr>
      <xdr:spPr>
        <a:xfrm>
          <a:off x="4593019" y="11837530"/>
          <a:ext cx="1393538" cy="31149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Ave: R-23.7</a:t>
          </a:r>
        </a:p>
      </xdr:txBody>
    </xdr:sp>
    <xdr:clientData/>
  </xdr:twoCellAnchor>
  <xdr:twoCellAnchor editAs="oneCell">
    <xdr:from>
      <xdr:col>1</xdr:col>
      <xdr:colOff>297107</xdr:colOff>
      <xdr:row>109</xdr:row>
      <xdr:rowOff>54606</xdr:rowOff>
    </xdr:from>
    <xdr:to>
      <xdr:col>13</xdr:col>
      <xdr:colOff>379486</xdr:colOff>
      <xdr:row>141</xdr:row>
      <xdr:rowOff>105436</xdr:rowOff>
    </xdr:to>
    <xdr:pic>
      <xdr:nvPicPr>
        <xdr:cNvPr id="39" name="Picture 38">
          <a:extLst>
            <a:ext uri="{FF2B5EF4-FFF2-40B4-BE49-F238E27FC236}">
              <a16:creationId xmlns:a16="http://schemas.microsoft.com/office/drawing/2014/main" id="{78CDCECF-9AE6-179E-8FBE-5D8B26685462}"/>
            </a:ext>
          </a:extLst>
        </xdr:cNvPr>
        <xdr:cNvPicPr>
          <a:picLocks noChangeAspect="1"/>
        </xdr:cNvPicPr>
      </xdr:nvPicPr>
      <xdr:blipFill rotWithShape="1">
        <a:blip xmlns:r="http://schemas.openxmlformats.org/officeDocument/2006/relationships" r:embed="rId11"/>
        <a:srcRect l="1018" b="982"/>
        <a:stretch/>
      </xdr:blipFill>
      <xdr:spPr>
        <a:xfrm>
          <a:off x="950251" y="16535578"/>
          <a:ext cx="7920091" cy="4927630"/>
        </a:xfrm>
        <a:prstGeom prst="rect">
          <a:avLst/>
        </a:prstGeom>
      </xdr:spPr>
    </xdr:pic>
    <xdr:clientData/>
  </xdr:twoCellAnchor>
  <xdr:twoCellAnchor>
    <xdr:from>
      <xdr:col>2</xdr:col>
      <xdr:colOff>245784</xdr:colOff>
      <xdr:row>121</xdr:row>
      <xdr:rowOff>67782</xdr:rowOff>
    </xdr:from>
    <xdr:to>
      <xdr:col>5</xdr:col>
      <xdr:colOff>246080</xdr:colOff>
      <xdr:row>127</xdr:row>
      <xdr:rowOff>33106</xdr:rowOff>
    </xdr:to>
    <xdr:sp macro="" textlink="">
      <xdr:nvSpPr>
        <xdr:cNvPr id="40" name="TextBox 5">
          <a:extLst>
            <a:ext uri="{FF2B5EF4-FFF2-40B4-BE49-F238E27FC236}">
              <a16:creationId xmlns:a16="http://schemas.microsoft.com/office/drawing/2014/main" id="{80DFD00F-6D3C-4368-FE88-CD018B85C371}"/>
            </a:ext>
          </a:extLst>
        </xdr:cNvPr>
        <xdr:cNvSpPr txBox="1"/>
      </xdr:nvSpPr>
      <xdr:spPr>
        <a:xfrm>
          <a:off x="1554436" y="20211086"/>
          <a:ext cx="1963274" cy="95923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a:latin typeface="Univers LT Std" panose="020B0403020202020204" pitchFamily="34" charset="0"/>
            </a:rPr>
            <a:t>Best Performing</a:t>
          </a:r>
        </a:p>
        <a:p>
          <a:pPr algn="ctr"/>
          <a:r>
            <a:rPr lang="en-US" sz="1400">
              <a:latin typeface="Univers LT Std" panose="020B0403020202020204" pitchFamily="34" charset="0"/>
            </a:rPr>
            <a:t>Total Average = 66</a:t>
          </a:r>
        </a:p>
        <a:p>
          <a:pPr algn="ctr"/>
          <a:r>
            <a:rPr lang="en-US" sz="1400">
              <a:latin typeface="Univers LT Std" panose="020B0403020202020204" pitchFamily="34" charset="0"/>
            </a:rPr>
            <a:t>Gas Ave = 50.7</a:t>
          </a:r>
        </a:p>
        <a:p>
          <a:pPr algn="ctr"/>
          <a:r>
            <a:rPr lang="en-US" sz="1400">
              <a:latin typeface="Univers LT Std" panose="020B0403020202020204" pitchFamily="34" charset="0"/>
            </a:rPr>
            <a:t>Elec Ave = 15.7</a:t>
          </a:r>
        </a:p>
      </xdr:txBody>
    </xdr:sp>
    <xdr:clientData/>
  </xdr:twoCellAnchor>
  <xdr:twoCellAnchor>
    <xdr:from>
      <xdr:col>6</xdr:col>
      <xdr:colOff>194756</xdr:colOff>
      <xdr:row>119</xdr:row>
      <xdr:rowOff>11729</xdr:rowOff>
    </xdr:from>
    <xdr:to>
      <xdr:col>9</xdr:col>
      <xdr:colOff>189618</xdr:colOff>
      <xdr:row>125</xdr:row>
      <xdr:rowOff>31514</xdr:rowOff>
    </xdr:to>
    <xdr:sp macro="" textlink="">
      <xdr:nvSpPr>
        <xdr:cNvPr id="41" name="TextBox 6">
          <a:extLst>
            <a:ext uri="{FF2B5EF4-FFF2-40B4-BE49-F238E27FC236}">
              <a16:creationId xmlns:a16="http://schemas.microsoft.com/office/drawing/2014/main" id="{5C2E9528-3F3A-6709-9F39-ABFE7031FACC}"/>
            </a:ext>
          </a:extLst>
        </xdr:cNvPr>
        <xdr:cNvSpPr txBox="1"/>
      </xdr:nvSpPr>
      <xdr:spPr>
        <a:xfrm>
          <a:off x="4131508" y="18793314"/>
          <a:ext cx="1963237" cy="95923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a:latin typeface="Univers LT Std" panose="020B0403020202020204" pitchFamily="34" charset="0"/>
            </a:rPr>
            <a:t>Mid Performing</a:t>
          </a:r>
        </a:p>
        <a:p>
          <a:pPr algn="ctr"/>
          <a:r>
            <a:rPr lang="en-US" sz="1400">
              <a:latin typeface="Univers LT Std" panose="020B0403020202020204" pitchFamily="34" charset="0"/>
            </a:rPr>
            <a:t>Total Average = 88</a:t>
          </a:r>
        </a:p>
        <a:p>
          <a:pPr algn="ctr"/>
          <a:r>
            <a:rPr lang="en-US" sz="1400">
              <a:latin typeface="Univers LT Std" panose="020B0403020202020204" pitchFamily="34" charset="0"/>
            </a:rPr>
            <a:t>Gas Ave = 68.5</a:t>
          </a:r>
        </a:p>
        <a:p>
          <a:pPr algn="ctr"/>
          <a:r>
            <a:rPr lang="en-US" sz="1400">
              <a:latin typeface="Univers LT Std" panose="020B0403020202020204" pitchFamily="34" charset="0"/>
            </a:rPr>
            <a:t>Elec Ave = 20</a:t>
          </a:r>
        </a:p>
      </xdr:txBody>
    </xdr:sp>
    <xdr:clientData/>
  </xdr:twoCellAnchor>
  <xdr:twoCellAnchor>
    <xdr:from>
      <xdr:col>9</xdr:col>
      <xdr:colOff>534369</xdr:colOff>
      <xdr:row>113</xdr:row>
      <xdr:rowOff>94916</xdr:rowOff>
    </xdr:from>
    <xdr:to>
      <xdr:col>12</xdr:col>
      <xdr:colOff>580199</xdr:colOff>
      <xdr:row>119</xdr:row>
      <xdr:rowOff>60240</xdr:rowOff>
    </xdr:to>
    <xdr:sp macro="" textlink="">
      <xdr:nvSpPr>
        <xdr:cNvPr id="42" name="TextBox 7">
          <a:extLst>
            <a:ext uri="{FF2B5EF4-FFF2-40B4-BE49-F238E27FC236}">
              <a16:creationId xmlns:a16="http://schemas.microsoft.com/office/drawing/2014/main" id="{8DA547A2-BE1A-3348-6B67-01002242487D}"/>
            </a:ext>
          </a:extLst>
        </xdr:cNvPr>
        <xdr:cNvSpPr txBox="1"/>
      </xdr:nvSpPr>
      <xdr:spPr>
        <a:xfrm>
          <a:off x="6423304" y="18913003"/>
          <a:ext cx="2008808" cy="95923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a:latin typeface="Univers LT Std" panose="020B0403020202020204" pitchFamily="34" charset="0"/>
            </a:rPr>
            <a:t>Worst Performing</a:t>
          </a:r>
        </a:p>
        <a:p>
          <a:pPr algn="ctr"/>
          <a:r>
            <a:rPr lang="en-US" sz="1400">
              <a:latin typeface="Univers LT Std" panose="020B0403020202020204" pitchFamily="34" charset="0"/>
            </a:rPr>
            <a:t>Total Average = 120</a:t>
          </a:r>
        </a:p>
        <a:p>
          <a:pPr algn="ctr"/>
          <a:r>
            <a:rPr lang="en-US" sz="1400">
              <a:latin typeface="Univers LT Std" panose="020B0403020202020204" pitchFamily="34" charset="0"/>
            </a:rPr>
            <a:t>Gas Ave = 96.9</a:t>
          </a:r>
        </a:p>
        <a:p>
          <a:pPr algn="ctr"/>
          <a:r>
            <a:rPr lang="en-US" sz="1400">
              <a:latin typeface="Univers LT Std" panose="020B0403020202020204" pitchFamily="34" charset="0"/>
            </a:rPr>
            <a:t>Elec Ave = 22.9</a:t>
          </a:r>
        </a:p>
      </xdr:txBody>
    </xdr:sp>
    <xdr:clientData/>
  </xdr:twoCellAnchor>
  <xdr:twoCellAnchor>
    <xdr:from>
      <xdr:col>2</xdr:col>
      <xdr:colOff>628590</xdr:colOff>
      <xdr:row>134</xdr:row>
      <xdr:rowOff>113614</xdr:rowOff>
    </xdr:from>
    <xdr:to>
      <xdr:col>5</xdr:col>
      <xdr:colOff>56959</xdr:colOff>
      <xdr:row>138</xdr:row>
      <xdr:rowOff>152371</xdr:rowOff>
    </xdr:to>
    <xdr:sp macro="" textlink="">
      <xdr:nvSpPr>
        <xdr:cNvPr id="43" name="TextBox 8">
          <a:extLst>
            <a:ext uri="{FF2B5EF4-FFF2-40B4-BE49-F238E27FC236}">
              <a16:creationId xmlns:a16="http://schemas.microsoft.com/office/drawing/2014/main" id="{AB6DC5C9-2DB2-969E-2641-E84A304CF0E5}"/>
            </a:ext>
          </a:extLst>
        </xdr:cNvPr>
        <xdr:cNvSpPr txBox="1"/>
      </xdr:nvSpPr>
      <xdr:spPr>
        <a:xfrm>
          <a:off x="1940841" y="21243829"/>
          <a:ext cx="1396744" cy="66505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latin typeface="Univers LT Std" panose="020B0403020202020204" pitchFamily="34" charset="0"/>
            </a:rPr>
            <a:t>14 count</a:t>
          </a:r>
        </a:p>
        <a:p>
          <a:pPr algn="ctr"/>
          <a:r>
            <a:rPr lang="en-US" b="1">
              <a:latin typeface="Univers LT Std" panose="020B0403020202020204" pitchFamily="34" charset="0"/>
            </a:rPr>
            <a:t>36%</a:t>
          </a:r>
        </a:p>
      </xdr:txBody>
    </xdr:sp>
    <xdr:clientData/>
  </xdr:twoCellAnchor>
  <xdr:twoCellAnchor>
    <xdr:from>
      <xdr:col>6</xdr:col>
      <xdr:colOff>556461</xdr:colOff>
      <xdr:row>134</xdr:row>
      <xdr:rowOff>113614</xdr:rowOff>
    </xdr:from>
    <xdr:to>
      <xdr:col>8</xdr:col>
      <xdr:colOff>635898</xdr:colOff>
      <xdr:row>138</xdr:row>
      <xdr:rowOff>152371</xdr:rowOff>
    </xdr:to>
    <xdr:sp macro="" textlink="">
      <xdr:nvSpPr>
        <xdr:cNvPr id="44" name="TextBox 9">
          <a:extLst>
            <a:ext uri="{FF2B5EF4-FFF2-40B4-BE49-F238E27FC236}">
              <a16:creationId xmlns:a16="http://schemas.microsoft.com/office/drawing/2014/main" id="{391F8CA0-BDCC-EDA1-4D81-03C2AF123533}"/>
            </a:ext>
          </a:extLst>
        </xdr:cNvPr>
        <xdr:cNvSpPr txBox="1"/>
      </xdr:nvSpPr>
      <xdr:spPr>
        <a:xfrm>
          <a:off x="4493213" y="21243829"/>
          <a:ext cx="1391686" cy="66505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latin typeface="Univers LT Std" panose="020B0403020202020204" pitchFamily="34" charset="0"/>
            </a:rPr>
            <a:t>12 count</a:t>
          </a:r>
        </a:p>
        <a:p>
          <a:pPr algn="ctr"/>
          <a:r>
            <a:rPr lang="en-US" b="1">
              <a:latin typeface="Univers LT Std" panose="020B0403020202020204" pitchFamily="34" charset="0"/>
            </a:rPr>
            <a:t>31%</a:t>
          </a:r>
        </a:p>
      </xdr:txBody>
    </xdr:sp>
    <xdr:clientData/>
  </xdr:twoCellAnchor>
  <xdr:twoCellAnchor>
    <xdr:from>
      <xdr:col>10</xdr:col>
      <xdr:colOff>282856</xdr:colOff>
      <xdr:row>134</xdr:row>
      <xdr:rowOff>113614</xdr:rowOff>
    </xdr:from>
    <xdr:to>
      <xdr:col>12</xdr:col>
      <xdr:colOff>367349</xdr:colOff>
      <xdr:row>138</xdr:row>
      <xdr:rowOff>152371</xdr:rowOff>
    </xdr:to>
    <xdr:sp macro="" textlink="">
      <xdr:nvSpPr>
        <xdr:cNvPr id="45" name="TextBox 10">
          <a:extLst>
            <a:ext uri="{FF2B5EF4-FFF2-40B4-BE49-F238E27FC236}">
              <a16:creationId xmlns:a16="http://schemas.microsoft.com/office/drawing/2014/main" id="{4B26D1D0-5C0F-AC12-5443-2CB7314F1FA5}"/>
            </a:ext>
          </a:extLst>
        </xdr:cNvPr>
        <xdr:cNvSpPr txBox="1"/>
      </xdr:nvSpPr>
      <xdr:spPr>
        <a:xfrm>
          <a:off x="6844108" y="21243829"/>
          <a:ext cx="1396744" cy="66505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latin typeface="Univers LT Std" panose="020B0403020202020204" pitchFamily="34" charset="0"/>
            </a:rPr>
            <a:t>13 count</a:t>
          </a:r>
        </a:p>
        <a:p>
          <a:pPr algn="ctr"/>
          <a:r>
            <a:rPr lang="en-US" b="1">
              <a:latin typeface="Univers LT Std" panose="020B0403020202020204" pitchFamily="34" charset="0"/>
            </a:rPr>
            <a:t>33%</a:t>
          </a:r>
        </a:p>
      </xdr:txBody>
    </xdr:sp>
    <xdr:clientData/>
  </xdr:twoCellAnchor>
  <xdr:twoCellAnchor editAs="oneCell">
    <xdr:from>
      <xdr:col>12</xdr:col>
      <xdr:colOff>163903</xdr:colOff>
      <xdr:row>54</xdr:row>
      <xdr:rowOff>102054</xdr:rowOff>
    </xdr:from>
    <xdr:to>
      <xdr:col>18</xdr:col>
      <xdr:colOff>402029</xdr:colOff>
      <xdr:row>70</xdr:row>
      <xdr:rowOff>54978</xdr:rowOff>
    </xdr:to>
    <xdr:pic>
      <xdr:nvPicPr>
        <xdr:cNvPr id="55" name="Picture 54">
          <a:extLst>
            <a:ext uri="{FF2B5EF4-FFF2-40B4-BE49-F238E27FC236}">
              <a16:creationId xmlns:a16="http://schemas.microsoft.com/office/drawing/2014/main" id="{05A8C589-5AEA-72DA-FB72-6FBA3D0704C9}"/>
            </a:ext>
          </a:extLst>
        </xdr:cNvPr>
        <xdr:cNvPicPr>
          <a:picLocks noChangeAspect="1"/>
        </xdr:cNvPicPr>
      </xdr:nvPicPr>
      <xdr:blipFill rotWithShape="1">
        <a:blip xmlns:r="http://schemas.openxmlformats.org/officeDocument/2006/relationships" r:embed="rId12"/>
        <a:srcRect b="4867"/>
        <a:stretch/>
      </xdr:blipFill>
      <xdr:spPr>
        <a:xfrm>
          <a:off x="8014812" y="8843613"/>
          <a:ext cx="4163581" cy="2503920"/>
        </a:xfrm>
        <a:prstGeom prst="rect">
          <a:avLst/>
        </a:prstGeom>
      </xdr:spPr>
    </xdr:pic>
    <xdr:clientData/>
  </xdr:twoCellAnchor>
  <xdr:twoCellAnchor editAs="oneCell">
    <xdr:from>
      <xdr:col>12</xdr:col>
      <xdr:colOff>249464</xdr:colOff>
      <xdr:row>75</xdr:row>
      <xdr:rowOff>45357</xdr:rowOff>
    </xdr:from>
    <xdr:to>
      <xdr:col>18</xdr:col>
      <xdr:colOff>204106</xdr:colOff>
      <xdr:row>90</xdr:row>
      <xdr:rowOff>41339</xdr:rowOff>
    </xdr:to>
    <xdr:pic>
      <xdr:nvPicPr>
        <xdr:cNvPr id="56" name="Picture 55">
          <a:extLst>
            <a:ext uri="{FF2B5EF4-FFF2-40B4-BE49-F238E27FC236}">
              <a16:creationId xmlns:a16="http://schemas.microsoft.com/office/drawing/2014/main" id="{9B0266F1-F71D-0A34-A619-2DBDC2011E0F}"/>
            </a:ext>
          </a:extLst>
        </xdr:cNvPr>
        <xdr:cNvPicPr>
          <a:picLocks noChangeAspect="1"/>
        </xdr:cNvPicPr>
      </xdr:nvPicPr>
      <xdr:blipFill rotWithShape="1">
        <a:blip xmlns:r="http://schemas.openxmlformats.org/officeDocument/2006/relationships" r:embed="rId13"/>
        <a:srcRect b="9211"/>
        <a:stretch/>
      </xdr:blipFill>
      <xdr:spPr>
        <a:xfrm>
          <a:off x="8103713" y="12067871"/>
          <a:ext cx="3881768" cy="2372925"/>
        </a:xfrm>
        <a:prstGeom prst="rect">
          <a:avLst/>
        </a:prstGeom>
      </xdr:spPr>
    </xdr:pic>
    <xdr:clientData/>
  </xdr:twoCellAnchor>
  <xdr:twoCellAnchor>
    <xdr:from>
      <xdr:col>12</xdr:col>
      <xdr:colOff>308556</xdr:colOff>
      <xdr:row>69</xdr:row>
      <xdr:rowOff>157403</xdr:rowOff>
    </xdr:from>
    <xdr:to>
      <xdr:col>14</xdr:col>
      <xdr:colOff>208918</xdr:colOff>
      <xdr:row>71</xdr:row>
      <xdr:rowOff>85713</xdr:rowOff>
    </xdr:to>
    <xdr:sp macro="" textlink="">
      <xdr:nvSpPr>
        <xdr:cNvPr id="57" name="TextBox 5">
          <a:extLst>
            <a:ext uri="{FF2B5EF4-FFF2-40B4-BE49-F238E27FC236}">
              <a16:creationId xmlns:a16="http://schemas.microsoft.com/office/drawing/2014/main" id="{4139A9A9-7232-4EEB-A5B2-6427283C3189}"/>
            </a:ext>
          </a:extLst>
        </xdr:cNvPr>
        <xdr:cNvSpPr txBox="1"/>
      </xdr:nvSpPr>
      <xdr:spPr>
        <a:xfrm>
          <a:off x="8159465" y="11290520"/>
          <a:ext cx="1208847" cy="24718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Arial" panose="020B0604020202020204" pitchFamily="34" charset="0"/>
              <a:cs typeface="Arial" panose="020B0604020202020204" pitchFamily="34" charset="0"/>
            </a:rPr>
            <a:t>Best</a:t>
          </a:r>
        </a:p>
      </xdr:txBody>
    </xdr:sp>
    <xdr:clientData/>
  </xdr:twoCellAnchor>
  <xdr:twoCellAnchor>
    <xdr:from>
      <xdr:col>17</xdr:col>
      <xdr:colOff>180886</xdr:colOff>
      <xdr:row>69</xdr:row>
      <xdr:rowOff>156773</xdr:rowOff>
    </xdr:from>
    <xdr:to>
      <xdr:col>18</xdr:col>
      <xdr:colOff>87965</xdr:colOff>
      <xdr:row>71</xdr:row>
      <xdr:rowOff>93463</xdr:rowOff>
    </xdr:to>
    <xdr:sp macro="" textlink="">
      <xdr:nvSpPr>
        <xdr:cNvPr id="58" name="TextBox 6">
          <a:extLst>
            <a:ext uri="{FF2B5EF4-FFF2-40B4-BE49-F238E27FC236}">
              <a16:creationId xmlns:a16="http://schemas.microsoft.com/office/drawing/2014/main" id="{07C188FC-7EBF-4834-8B21-47F3D3C61FBA}"/>
            </a:ext>
          </a:extLst>
        </xdr:cNvPr>
        <xdr:cNvSpPr txBox="1"/>
      </xdr:nvSpPr>
      <xdr:spPr>
        <a:xfrm>
          <a:off x="11303007" y="11289890"/>
          <a:ext cx="561322" cy="25556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Arial" panose="020B0604020202020204" pitchFamily="34" charset="0"/>
              <a:cs typeface="Arial" panose="020B0604020202020204" pitchFamily="34" charset="0"/>
            </a:rPr>
            <a:t>Worst</a:t>
          </a:r>
        </a:p>
      </xdr:txBody>
    </xdr:sp>
    <xdr:clientData/>
  </xdr:twoCellAnchor>
  <xdr:twoCellAnchor>
    <xdr:from>
      <xdr:col>15</xdr:col>
      <xdr:colOff>28570</xdr:colOff>
      <xdr:row>70</xdr:row>
      <xdr:rowOff>21284</xdr:rowOff>
    </xdr:from>
    <xdr:to>
      <xdr:col>15</xdr:col>
      <xdr:colOff>456322</xdr:colOff>
      <xdr:row>71</xdr:row>
      <xdr:rowOff>109957</xdr:rowOff>
    </xdr:to>
    <xdr:sp macro="" textlink="">
      <xdr:nvSpPr>
        <xdr:cNvPr id="59" name="TextBox 6">
          <a:extLst>
            <a:ext uri="{FF2B5EF4-FFF2-40B4-BE49-F238E27FC236}">
              <a16:creationId xmlns:a16="http://schemas.microsoft.com/office/drawing/2014/main" id="{9E10C121-4AB1-4C96-87DD-081D10B245C6}"/>
            </a:ext>
          </a:extLst>
        </xdr:cNvPr>
        <xdr:cNvSpPr txBox="1"/>
      </xdr:nvSpPr>
      <xdr:spPr>
        <a:xfrm>
          <a:off x="9842206" y="11313839"/>
          <a:ext cx="427752" cy="24810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Arial" panose="020B0604020202020204" pitchFamily="34" charset="0"/>
              <a:cs typeface="Arial" panose="020B0604020202020204" pitchFamily="34" charset="0"/>
            </a:rPr>
            <a:t>Mid </a:t>
          </a:r>
        </a:p>
      </xdr:txBody>
    </xdr:sp>
    <xdr:clientData/>
  </xdr:twoCellAnchor>
  <xdr:twoCellAnchor>
    <xdr:from>
      <xdr:col>12</xdr:col>
      <xdr:colOff>296883</xdr:colOff>
      <xdr:row>57</xdr:row>
      <xdr:rowOff>36075</xdr:rowOff>
    </xdr:from>
    <xdr:to>
      <xdr:col>14</xdr:col>
      <xdr:colOff>258209</xdr:colOff>
      <xdr:row>58</xdr:row>
      <xdr:rowOff>146007</xdr:rowOff>
    </xdr:to>
    <xdr:sp macro="" textlink="">
      <xdr:nvSpPr>
        <xdr:cNvPr id="60" name="TextBox 9">
          <a:extLst>
            <a:ext uri="{FF2B5EF4-FFF2-40B4-BE49-F238E27FC236}">
              <a16:creationId xmlns:a16="http://schemas.microsoft.com/office/drawing/2014/main" id="{BA1947C2-71D9-474F-9A2A-66323238E4E5}"/>
            </a:ext>
          </a:extLst>
        </xdr:cNvPr>
        <xdr:cNvSpPr txBox="1"/>
      </xdr:nvSpPr>
      <xdr:spPr>
        <a:xfrm>
          <a:off x="8147792" y="9255945"/>
          <a:ext cx="1269811" cy="26936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latin typeface="Arial" panose="020B0604020202020204" pitchFamily="34" charset="0"/>
              <a:cs typeface="Arial" panose="020B0604020202020204" pitchFamily="34" charset="0"/>
            </a:rPr>
            <a:t>Ave: 67/65</a:t>
          </a:r>
        </a:p>
      </xdr:txBody>
    </xdr:sp>
    <xdr:clientData/>
  </xdr:twoCellAnchor>
  <xdr:twoCellAnchor>
    <xdr:from>
      <xdr:col>14</xdr:col>
      <xdr:colOff>343297</xdr:colOff>
      <xdr:row>57</xdr:row>
      <xdr:rowOff>3088</xdr:rowOff>
    </xdr:from>
    <xdr:to>
      <xdr:col>16</xdr:col>
      <xdr:colOff>295414</xdr:colOff>
      <xdr:row>58</xdr:row>
      <xdr:rowOff>113020</xdr:rowOff>
    </xdr:to>
    <xdr:sp macro="" textlink="">
      <xdr:nvSpPr>
        <xdr:cNvPr id="61" name="TextBox 10">
          <a:extLst>
            <a:ext uri="{FF2B5EF4-FFF2-40B4-BE49-F238E27FC236}">
              <a16:creationId xmlns:a16="http://schemas.microsoft.com/office/drawing/2014/main" id="{26EDEC71-D6D2-46DA-BFF4-A206B3E9165F}"/>
            </a:ext>
          </a:extLst>
        </xdr:cNvPr>
        <xdr:cNvSpPr txBox="1"/>
      </xdr:nvSpPr>
      <xdr:spPr>
        <a:xfrm>
          <a:off x="9502691" y="9222958"/>
          <a:ext cx="1260602" cy="26936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latin typeface="Arial" panose="020B0604020202020204" pitchFamily="34" charset="0"/>
              <a:cs typeface="Arial" panose="020B0604020202020204" pitchFamily="34" charset="0"/>
            </a:rPr>
            <a:t>Ave: 70/68</a:t>
          </a:r>
        </a:p>
      </xdr:txBody>
    </xdr:sp>
    <xdr:clientData/>
  </xdr:twoCellAnchor>
  <xdr:twoCellAnchor>
    <xdr:from>
      <xdr:col>16</xdr:col>
      <xdr:colOff>566911</xdr:colOff>
      <xdr:row>57</xdr:row>
      <xdr:rowOff>30578</xdr:rowOff>
    </xdr:from>
    <xdr:to>
      <xdr:col>18</xdr:col>
      <xdr:colOff>550325</xdr:colOff>
      <xdr:row>58</xdr:row>
      <xdr:rowOff>140510</xdr:rowOff>
    </xdr:to>
    <xdr:sp macro="" textlink="">
      <xdr:nvSpPr>
        <xdr:cNvPr id="62" name="TextBox 11">
          <a:extLst>
            <a:ext uri="{FF2B5EF4-FFF2-40B4-BE49-F238E27FC236}">
              <a16:creationId xmlns:a16="http://schemas.microsoft.com/office/drawing/2014/main" id="{1540E136-FDC6-4B9B-AC94-1D0ABA993E57}"/>
            </a:ext>
          </a:extLst>
        </xdr:cNvPr>
        <xdr:cNvSpPr txBox="1"/>
      </xdr:nvSpPr>
      <xdr:spPr>
        <a:xfrm>
          <a:off x="11034790" y="9250448"/>
          <a:ext cx="1291899" cy="26936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latin typeface="Arial" panose="020B0604020202020204" pitchFamily="34" charset="0"/>
              <a:cs typeface="Arial" panose="020B0604020202020204" pitchFamily="34" charset="0"/>
            </a:rPr>
            <a:t>Ave: 71/69</a:t>
          </a:r>
        </a:p>
      </xdr:txBody>
    </xdr:sp>
    <xdr:clientData/>
  </xdr:twoCellAnchor>
  <xdr:twoCellAnchor>
    <xdr:from>
      <xdr:col>12</xdr:col>
      <xdr:colOff>399765</xdr:colOff>
      <xdr:row>77</xdr:row>
      <xdr:rowOff>64031</xdr:rowOff>
    </xdr:from>
    <xdr:to>
      <xdr:col>14</xdr:col>
      <xdr:colOff>359209</xdr:colOff>
      <xdr:row>79</xdr:row>
      <xdr:rowOff>58600</xdr:rowOff>
    </xdr:to>
    <xdr:sp macro="" textlink="">
      <xdr:nvSpPr>
        <xdr:cNvPr id="66" name="TextBox 9">
          <a:extLst>
            <a:ext uri="{FF2B5EF4-FFF2-40B4-BE49-F238E27FC236}">
              <a16:creationId xmlns:a16="http://schemas.microsoft.com/office/drawing/2014/main" id="{762C5666-4B6D-4E40-8167-8A7457042739}"/>
            </a:ext>
          </a:extLst>
        </xdr:cNvPr>
        <xdr:cNvSpPr txBox="1"/>
      </xdr:nvSpPr>
      <xdr:spPr>
        <a:xfrm>
          <a:off x="8254014" y="12403470"/>
          <a:ext cx="1268486" cy="31149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Ave: 73/74</a:t>
          </a:r>
        </a:p>
      </xdr:txBody>
    </xdr:sp>
    <xdr:clientData/>
  </xdr:twoCellAnchor>
  <xdr:twoCellAnchor>
    <xdr:from>
      <xdr:col>14</xdr:col>
      <xdr:colOff>506655</xdr:colOff>
      <xdr:row>77</xdr:row>
      <xdr:rowOff>64031</xdr:rowOff>
    </xdr:from>
    <xdr:to>
      <xdr:col>16</xdr:col>
      <xdr:colOff>458772</xdr:colOff>
      <xdr:row>79</xdr:row>
      <xdr:rowOff>58600</xdr:rowOff>
    </xdr:to>
    <xdr:sp macro="" textlink="">
      <xdr:nvSpPr>
        <xdr:cNvPr id="67" name="TextBox 10">
          <a:extLst>
            <a:ext uri="{FF2B5EF4-FFF2-40B4-BE49-F238E27FC236}">
              <a16:creationId xmlns:a16="http://schemas.microsoft.com/office/drawing/2014/main" id="{AC8ABA7B-71E1-421C-88F4-0298630F1231}"/>
            </a:ext>
          </a:extLst>
        </xdr:cNvPr>
        <xdr:cNvSpPr txBox="1"/>
      </xdr:nvSpPr>
      <xdr:spPr>
        <a:xfrm>
          <a:off x="9669946" y="12403470"/>
          <a:ext cx="1261159" cy="31149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Ave: 73/73</a:t>
          </a:r>
        </a:p>
      </xdr:txBody>
    </xdr:sp>
    <xdr:clientData/>
  </xdr:twoCellAnchor>
  <xdr:twoCellAnchor>
    <xdr:from>
      <xdr:col>16</xdr:col>
      <xdr:colOff>497203</xdr:colOff>
      <xdr:row>77</xdr:row>
      <xdr:rowOff>50252</xdr:rowOff>
    </xdr:from>
    <xdr:to>
      <xdr:col>18</xdr:col>
      <xdr:colOff>480617</xdr:colOff>
      <xdr:row>79</xdr:row>
      <xdr:rowOff>44821</xdr:rowOff>
    </xdr:to>
    <xdr:sp macro="" textlink="">
      <xdr:nvSpPr>
        <xdr:cNvPr id="68" name="TextBox 11">
          <a:extLst>
            <a:ext uri="{FF2B5EF4-FFF2-40B4-BE49-F238E27FC236}">
              <a16:creationId xmlns:a16="http://schemas.microsoft.com/office/drawing/2014/main" id="{E9840093-766B-45AC-AE45-83344D0FE0A5}"/>
            </a:ext>
          </a:extLst>
        </xdr:cNvPr>
        <xdr:cNvSpPr txBox="1"/>
      </xdr:nvSpPr>
      <xdr:spPr>
        <a:xfrm>
          <a:off x="10969536" y="12389691"/>
          <a:ext cx="1292456" cy="31149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Ave: 70/70</a:t>
          </a:r>
        </a:p>
      </xdr:txBody>
    </xdr:sp>
    <xdr:clientData/>
  </xdr:twoCellAnchor>
  <xdr:twoCellAnchor>
    <xdr:from>
      <xdr:col>21</xdr:col>
      <xdr:colOff>169777</xdr:colOff>
      <xdr:row>57</xdr:row>
      <xdr:rowOff>73093</xdr:rowOff>
    </xdr:from>
    <xdr:to>
      <xdr:col>23</xdr:col>
      <xdr:colOff>129223</xdr:colOff>
      <xdr:row>59</xdr:row>
      <xdr:rowOff>50675</xdr:rowOff>
    </xdr:to>
    <xdr:sp macro="" textlink="">
      <xdr:nvSpPr>
        <xdr:cNvPr id="19" name="TextBox 9">
          <a:extLst>
            <a:ext uri="{FF2B5EF4-FFF2-40B4-BE49-F238E27FC236}">
              <a16:creationId xmlns:a16="http://schemas.microsoft.com/office/drawing/2014/main" id="{76386CF4-EFB1-4248-8FF2-99E43BD75CEC}"/>
            </a:ext>
          </a:extLst>
        </xdr:cNvPr>
        <xdr:cNvSpPr txBox="1"/>
      </xdr:nvSpPr>
      <xdr:spPr>
        <a:xfrm>
          <a:off x="13916669" y="9024386"/>
          <a:ext cx="1268674" cy="28650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panose="020B0604020202020204" pitchFamily="34" charset="0"/>
              <a:cs typeface="Arial" panose="020B0604020202020204" pitchFamily="34" charset="0"/>
            </a:rPr>
            <a:t>Ave: 30</a:t>
          </a:r>
        </a:p>
      </xdr:txBody>
    </xdr:sp>
    <xdr:clientData/>
  </xdr:twoCellAnchor>
  <xdr:twoCellAnchor>
    <xdr:from>
      <xdr:col>23</xdr:col>
      <xdr:colOff>271900</xdr:colOff>
      <xdr:row>57</xdr:row>
      <xdr:rowOff>73093</xdr:rowOff>
    </xdr:from>
    <xdr:to>
      <xdr:col>25</xdr:col>
      <xdr:colOff>224017</xdr:colOff>
      <xdr:row>59</xdr:row>
      <xdr:rowOff>50675</xdr:rowOff>
    </xdr:to>
    <xdr:sp macro="" textlink="">
      <xdr:nvSpPr>
        <xdr:cNvPr id="20" name="TextBox 10">
          <a:extLst>
            <a:ext uri="{FF2B5EF4-FFF2-40B4-BE49-F238E27FC236}">
              <a16:creationId xmlns:a16="http://schemas.microsoft.com/office/drawing/2014/main" id="{4825D615-B738-4795-9E2B-C046DD0CF834}"/>
            </a:ext>
          </a:extLst>
        </xdr:cNvPr>
        <xdr:cNvSpPr txBox="1"/>
      </xdr:nvSpPr>
      <xdr:spPr>
        <a:xfrm>
          <a:off x="15328020" y="9024386"/>
          <a:ext cx="1261344" cy="28650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panose="020B0604020202020204" pitchFamily="34" charset="0"/>
              <a:cs typeface="Arial" panose="020B0604020202020204" pitchFamily="34" charset="0"/>
            </a:rPr>
            <a:t>Ave: 34</a:t>
          </a:r>
        </a:p>
      </xdr:txBody>
    </xdr:sp>
    <xdr:clientData/>
  </xdr:twoCellAnchor>
  <xdr:twoCellAnchor>
    <xdr:from>
      <xdr:col>25</xdr:col>
      <xdr:colOff>572484</xdr:colOff>
      <xdr:row>57</xdr:row>
      <xdr:rowOff>73093</xdr:rowOff>
    </xdr:from>
    <xdr:to>
      <xdr:col>27</xdr:col>
      <xdr:colOff>555899</xdr:colOff>
      <xdr:row>59</xdr:row>
      <xdr:rowOff>50675</xdr:rowOff>
    </xdr:to>
    <xdr:sp macro="" textlink="">
      <xdr:nvSpPr>
        <xdr:cNvPr id="27" name="TextBox 11">
          <a:extLst>
            <a:ext uri="{FF2B5EF4-FFF2-40B4-BE49-F238E27FC236}">
              <a16:creationId xmlns:a16="http://schemas.microsoft.com/office/drawing/2014/main" id="{B8F136CA-A658-4BD1-8EBF-E4D7B0B87748}"/>
            </a:ext>
          </a:extLst>
        </xdr:cNvPr>
        <xdr:cNvSpPr txBox="1"/>
      </xdr:nvSpPr>
      <xdr:spPr>
        <a:xfrm>
          <a:off x="16937831" y="9024386"/>
          <a:ext cx="1292644" cy="28650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panose="020B0604020202020204" pitchFamily="34" charset="0"/>
              <a:cs typeface="Arial" panose="020B0604020202020204" pitchFamily="34" charset="0"/>
            </a:rPr>
            <a:t>Ave: 47</a:t>
          </a:r>
        </a:p>
      </xdr:txBody>
    </xdr:sp>
    <xdr:clientData/>
  </xdr:twoCellAnchor>
  <xdr:twoCellAnchor editAs="oneCell">
    <xdr:from>
      <xdr:col>7</xdr:col>
      <xdr:colOff>613917</xdr:colOff>
      <xdr:row>145</xdr:row>
      <xdr:rowOff>58014</xdr:rowOff>
    </xdr:from>
    <xdr:to>
      <xdr:col>28</xdr:col>
      <xdr:colOff>301690</xdr:colOff>
      <xdr:row>182</xdr:row>
      <xdr:rowOff>80713</xdr:rowOff>
    </xdr:to>
    <xdr:pic>
      <xdr:nvPicPr>
        <xdr:cNvPr id="3" name="Picture 2">
          <a:extLst>
            <a:ext uri="{FF2B5EF4-FFF2-40B4-BE49-F238E27FC236}">
              <a16:creationId xmlns:a16="http://schemas.microsoft.com/office/drawing/2014/main" id="{51E3BF56-23BA-6E0A-5CB7-1D11814AE813}"/>
            </a:ext>
          </a:extLst>
        </xdr:cNvPr>
        <xdr:cNvPicPr>
          <a:picLocks noChangeAspect="1"/>
        </xdr:cNvPicPr>
      </xdr:nvPicPr>
      <xdr:blipFill>
        <a:blip xmlns:r="http://schemas.openxmlformats.org/officeDocument/2006/relationships" r:embed="rId14"/>
        <a:stretch>
          <a:fillRect/>
        </a:stretch>
      </xdr:blipFill>
      <xdr:spPr>
        <a:xfrm>
          <a:off x="5172310" y="22762503"/>
          <a:ext cx="13362951" cy="5783339"/>
        </a:xfrm>
        <a:prstGeom prst="rect">
          <a:avLst/>
        </a:prstGeom>
      </xdr:spPr>
    </xdr:pic>
    <xdr:clientData/>
  </xdr:twoCellAnchor>
  <xdr:twoCellAnchor editAs="oneCell">
    <xdr:from>
      <xdr:col>1</xdr:col>
      <xdr:colOff>301078</xdr:colOff>
      <xdr:row>146</xdr:row>
      <xdr:rowOff>29158</xdr:rowOff>
    </xdr:from>
    <xdr:to>
      <xdr:col>7</xdr:col>
      <xdr:colOff>320739</xdr:colOff>
      <xdr:row>169</xdr:row>
      <xdr:rowOff>89926</xdr:rowOff>
    </xdr:to>
    <xdr:pic>
      <xdr:nvPicPr>
        <xdr:cNvPr id="28" name="Picture 27">
          <a:extLst>
            <a:ext uri="{FF2B5EF4-FFF2-40B4-BE49-F238E27FC236}">
              <a16:creationId xmlns:a16="http://schemas.microsoft.com/office/drawing/2014/main" id="{78E55D27-60E8-2C7A-33F3-2C0A4279B8E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54221" y="22964885"/>
          <a:ext cx="3938518" cy="3653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302381</xdr:colOff>
      <xdr:row>68</xdr:row>
      <xdr:rowOff>55608</xdr:rowOff>
    </xdr:from>
    <xdr:to>
      <xdr:col>4</xdr:col>
      <xdr:colOff>202743</xdr:colOff>
      <xdr:row>69</xdr:row>
      <xdr:rowOff>143355</xdr:rowOff>
    </xdr:to>
    <xdr:sp macro="" textlink="">
      <xdr:nvSpPr>
        <xdr:cNvPr id="34" name="TextBox 5">
          <a:extLst>
            <a:ext uri="{FF2B5EF4-FFF2-40B4-BE49-F238E27FC236}">
              <a16:creationId xmlns:a16="http://schemas.microsoft.com/office/drawing/2014/main" id="{E787446E-0EE7-4092-8A67-120EFEBF09FF}"/>
            </a:ext>
          </a:extLst>
        </xdr:cNvPr>
        <xdr:cNvSpPr txBox="1"/>
      </xdr:nvSpPr>
      <xdr:spPr>
        <a:xfrm>
          <a:off x="1610866" y="11029288"/>
          <a:ext cx="1208847" cy="24718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Arial" panose="020B0604020202020204" pitchFamily="34" charset="0"/>
              <a:cs typeface="Arial" panose="020B0604020202020204" pitchFamily="34" charset="0"/>
            </a:rPr>
            <a:t>Best</a:t>
          </a:r>
        </a:p>
      </xdr:txBody>
    </xdr:sp>
    <xdr:clientData/>
  </xdr:twoCellAnchor>
  <xdr:twoCellAnchor>
    <xdr:from>
      <xdr:col>7</xdr:col>
      <xdr:colOff>174711</xdr:colOff>
      <xdr:row>68</xdr:row>
      <xdr:rowOff>54978</xdr:rowOff>
    </xdr:from>
    <xdr:to>
      <xdr:col>8</xdr:col>
      <xdr:colOff>81791</xdr:colOff>
      <xdr:row>69</xdr:row>
      <xdr:rowOff>151105</xdr:rowOff>
    </xdr:to>
    <xdr:sp macro="" textlink="">
      <xdr:nvSpPr>
        <xdr:cNvPr id="35" name="TextBox 6">
          <a:extLst>
            <a:ext uri="{FF2B5EF4-FFF2-40B4-BE49-F238E27FC236}">
              <a16:creationId xmlns:a16="http://schemas.microsoft.com/office/drawing/2014/main" id="{08AB4C00-7AAA-454F-88BB-A5DF09D785B2}"/>
            </a:ext>
          </a:extLst>
        </xdr:cNvPr>
        <xdr:cNvSpPr txBox="1"/>
      </xdr:nvSpPr>
      <xdr:spPr>
        <a:xfrm>
          <a:off x="4754408" y="11028658"/>
          <a:ext cx="561322" cy="25556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Arial" panose="020B0604020202020204" pitchFamily="34" charset="0"/>
              <a:cs typeface="Arial" panose="020B0604020202020204" pitchFamily="34" charset="0"/>
            </a:rPr>
            <a:t>Worst</a:t>
          </a:r>
        </a:p>
      </xdr:txBody>
    </xdr:sp>
    <xdr:clientData/>
  </xdr:twoCellAnchor>
  <xdr:twoCellAnchor>
    <xdr:from>
      <xdr:col>5</xdr:col>
      <xdr:colOff>22395</xdr:colOff>
      <xdr:row>68</xdr:row>
      <xdr:rowOff>78927</xdr:rowOff>
    </xdr:from>
    <xdr:to>
      <xdr:col>5</xdr:col>
      <xdr:colOff>450147</xdr:colOff>
      <xdr:row>70</xdr:row>
      <xdr:rowOff>8161</xdr:rowOff>
    </xdr:to>
    <xdr:sp macro="" textlink="">
      <xdr:nvSpPr>
        <xdr:cNvPr id="36" name="TextBox 6">
          <a:extLst>
            <a:ext uri="{FF2B5EF4-FFF2-40B4-BE49-F238E27FC236}">
              <a16:creationId xmlns:a16="http://schemas.microsoft.com/office/drawing/2014/main" id="{5B5B8A65-2473-48FD-B866-2B0D5AAB669F}"/>
            </a:ext>
          </a:extLst>
        </xdr:cNvPr>
        <xdr:cNvSpPr txBox="1"/>
      </xdr:nvSpPr>
      <xdr:spPr>
        <a:xfrm>
          <a:off x="3293607" y="11052607"/>
          <a:ext cx="427752" cy="24810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Arial" panose="020B0604020202020204" pitchFamily="34" charset="0"/>
              <a:cs typeface="Arial" panose="020B0604020202020204" pitchFamily="34" charset="0"/>
            </a:rPr>
            <a:t>Mid </a:t>
          </a:r>
        </a:p>
      </xdr:txBody>
    </xdr:sp>
    <xdr:clientData/>
  </xdr:twoCellAnchor>
  <xdr:twoCellAnchor>
    <xdr:from>
      <xdr:col>21</xdr:col>
      <xdr:colOff>173633</xdr:colOff>
      <xdr:row>70</xdr:row>
      <xdr:rowOff>158019</xdr:rowOff>
    </xdr:from>
    <xdr:to>
      <xdr:col>23</xdr:col>
      <xdr:colOff>73996</xdr:colOff>
      <xdr:row>72</xdr:row>
      <xdr:rowOff>86330</xdr:rowOff>
    </xdr:to>
    <xdr:sp macro="" textlink="">
      <xdr:nvSpPr>
        <xdr:cNvPr id="38" name="TextBox 5">
          <a:extLst>
            <a:ext uri="{FF2B5EF4-FFF2-40B4-BE49-F238E27FC236}">
              <a16:creationId xmlns:a16="http://schemas.microsoft.com/office/drawing/2014/main" id="{8CD895E0-6034-431F-8FE4-C02906F0F1CE}"/>
            </a:ext>
          </a:extLst>
        </xdr:cNvPr>
        <xdr:cNvSpPr txBox="1"/>
      </xdr:nvSpPr>
      <xdr:spPr>
        <a:xfrm>
          <a:off x="13852158" y="11507714"/>
          <a:ext cx="1203079" cy="24952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Arial" panose="020B0604020202020204" pitchFamily="34" charset="0"/>
              <a:cs typeface="Arial" panose="020B0604020202020204" pitchFamily="34" charset="0"/>
            </a:rPr>
            <a:t>Best</a:t>
          </a:r>
        </a:p>
      </xdr:txBody>
    </xdr:sp>
    <xdr:clientData/>
  </xdr:twoCellAnchor>
  <xdr:twoCellAnchor>
    <xdr:from>
      <xdr:col>26</xdr:col>
      <xdr:colOff>45964</xdr:colOff>
      <xdr:row>70</xdr:row>
      <xdr:rowOff>157389</xdr:rowOff>
    </xdr:from>
    <xdr:to>
      <xdr:col>26</xdr:col>
      <xdr:colOff>604401</xdr:colOff>
      <xdr:row>72</xdr:row>
      <xdr:rowOff>94080</xdr:rowOff>
    </xdr:to>
    <xdr:sp macro="" textlink="">
      <xdr:nvSpPr>
        <xdr:cNvPr id="53" name="TextBox 6">
          <a:extLst>
            <a:ext uri="{FF2B5EF4-FFF2-40B4-BE49-F238E27FC236}">
              <a16:creationId xmlns:a16="http://schemas.microsoft.com/office/drawing/2014/main" id="{3A90CBC6-4D78-4EB9-9D52-AA5583B665E5}"/>
            </a:ext>
          </a:extLst>
        </xdr:cNvPr>
        <xdr:cNvSpPr txBox="1"/>
      </xdr:nvSpPr>
      <xdr:spPr>
        <a:xfrm>
          <a:off x="16981280" y="11507084"/>
          <a:ext cx="558437" cy="25790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Arial" panose="020B0604020202020204" pitchFamily="34" charset="0"/>
              <a:cs typeface="Arial" panose="020B0604020202020204" pitchFamily="34" charset="0"/>
            </a:rPr>
            <a:t>Worst</a:t>
          </a:r>
        </a:p>
      </xdr:txBody>
    </xdr:sp>
    <xdr:clientData/>
  </xdr:twoCellAnchor>
  <xdr:twoCellAnchor>
    <xdr:from>
      <xdr:col>23</xdr:col>
      <xdr:colOff>545007</xdr:colOff>
      <xdr:row>71</xdr:row>
      <xdr:rowOff>19754</xdr:rowOff>
    </xdr:from>
    <xdr:to>
      <xdr:col>24</xdr:col>
      <xdr:colOff>318236</xdr:colOff>
      <xdr:row>72</xdr:row>
      <xdr:rowOff>110574</xdr:rowOff>
    </xdr:to>
    <xdr:sp macro="" textlink="">
      <xdr:nvSpPr>
        <xdr:cNvPr id="54" name="TextBox 6">
          <a:extLst>
            <a:ext uri="{FF2B5EF4-FFF2-40B4-BE49-F238E27FC236}">
              <a16:creationId xmlns:a16="http://schemas.microsoft.com/office/drawing/2014/main" id="{51250F7A-880A-4EE1-B2F4-EAA486A81539}"/>
            </a:ext>
          </a:extLst>
        </xdr:cNvPr>
        <xdr:cNvSpPr txBox="1"/>
      </xdr:nvSpPr>
      <xdr:spPr>
        <a:xfrm>
          <a:off x="15526248" y="11530059"/>
          <a:ext cx="424588" cy="25142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Arial" panose="020B0604020202020204" pitchFamily="34" charset="0"/>
              <a:cs typeface="Arial" panose="020B0604020202020204" pitchFamily="34" charset="0"/>
            </a:rPr>
            <a:t>Mid </a:t>
          </a:r>
        </a:p>
      </xdr:txBody>
    </xdr:sp>
    <xdr:clientData/>
  </xdr:twoCellAnchor>
  <xdr:twoCellAnchor>
    <xdr:from>
      <xdr:col>12</xdr:col>
      <xdr:colOff>353444</xdr:colOff>
      <xdr:row>89</xdr:row>
      <xdr:rowOff>122328</xdr:rowOff>
    </xdr:from>
    <xdr:to>
      <xdr:col>14</xdr:col>
      <xdr:colOff>253806</xdr:colOff>
      <xdr:row>91</xdr:row>
      <xdr:rowOff>50640</xdr:rowOff>
    </xdr:to>
    <xdr:sp macro="" textlink="">
      <xdr:nvSpPr>
        <xdr:cNvPr id="69" name="TextBox 5">
          <a:extLst>
            <a:ext uri="{FF2B5EF4-FFF2-40B4-BE49-F238E27FC236}">
              <a16:creationId xmlns:a16="http://schemas.microsoft.com/office/drawing/2014/main" id="{3B20AA0F-D5E1-4572-9391-C97B6514FD83}"/>
            </a:ext>
          </a:extLst>
        </xdr:cNvPr>
        <xdr:cNvSpPr txBox="1"/>
      </xdr:nvSpPr>
      <xdr:spPr>
        <a:xfrm>
          <a:off x="8207693" y="14363323"/>
          <a:ext cx="1209404" cy="24523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Arial" panose="020B0604020202020204" pitchFamily="34" charset="0"/>
              <a:cs typeface="Arial" panose="020B0604020202020204" pitchFamily="34" charset="0"/>
            </a:rPr>
            <a:t>Best</a:t>
          </a:r>
        </a:p>
      </xdr:txBody>
    </xdr:sp>
    <xdr:clientData/>
  </xdr:twoCellAnchor>
  <xdr:twoCellAnchor>
    <xdr:from>
      <xdr:col>17</xdr:col>
      <xdr:colOff>225774</xdr:colOff>
      <xdr:row>89</xdr:row>
      <xdr:rowOff>121698</xdr:rowOff>
    </xdr:from>
    <xdr:to>
      <xdr:col>18</xdr:col>
      <xdr:colOff>132853</xdr:colOff>
      <xdr:row>91</xdr:row>
      <xdr:rowOff>58390</xdr:rowOff>
    </xdr:to>
    <xdr:sp macro="" textlink="">
      <xdr:nvSpPr>
        <xdr:cNvPr id="70" name="TextBox 6">
          <a:extLst>
            <a:ext uri="{FF2B5EF4-FFF2-40B4-BE49-F238E27FC236}">
              <a16:creationId xmlns:a16="http://schemas.microsoft.com/office/drawing/2014/main" id="{5074802E-ACE9-4C1B-8F56-3440E467DB7C}"/>
            </a:ext>
          </a:extLst>
        </xdr:cNvPr>
        <xdr:cNvSpPr txBox="1"/>
      </xdr:nvSpPr>
      <xdr:spPr>
        <a:xfrm>
          <a:off x="11352627" y="14362693"/>
          <a:ext cx="561601" cy="25361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Arial" panose="020B0604020202020204" pitchFamily="34" charset="0"/>
              <a:cs typeface="Arial" panose="020B0604020202020204" pitchFamily="34" charset="0"/>
            </a:rPr>
            <a:t>Worst</a:t>
          </a:r>
        </a:p>
      </xdr:txBody>
    </xdr:sp>
    <xdr:clientData/>
  </xdr:twoCellAnchor>
  <xdr:twoCellAnchor>
    <xdr:from>
      <xdr:col>15</xdr:col>
      <xdr:colOff>73458</xdr:colOff>
      <xdr:row>89</xdr:row>
      <xdr:rowOff>144673</xdr:rowOff>
    </xdr:from>
    <xdr:to>
      <xdr:col>15</xdr:col>
      <xdr:colOff>501210</xdr:colOff>
      <xdr:row>91</xdr:row>
      <xdr:rowOff>74884</xdr:rowOff>
    </xdr:to>
    <xdr:sp macro="" textlink="">
      <xdr:nvSpPr>
        <xdr:cNvPr id="71" name="TextBox 6">
          <a:extLst>
            <a:ext uri="{FF2B5EF4-FFF2-40B4-BE49-F238E27FC236}">
              <a16:creationId xmlns:a16="http://schemas.microsoft.com/office/drawing/2014/main" id="{8D9B2C9D-2B0C-4AFF-98AC-E37E2147EDBA}"/>
            </a:ext>
          </a:extLst>
        </xdr:cNvPr>
        <xdr:cNvSpPr txBox="1"/>
      </xdr:nvSpPr>
      <xdr:spPr>
        <a:xfrm>
          <a:off x="9891269" y="14385668"/>
          <a:ext cx="427752" cy="24713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Arial" panose="020B0604020202020204" pitchFamily="34" charset="0"/>
              <a:cs typeface="Arial" panose="020B0604020202020204" pitchFamily="34" charset="0"/>
            </a:rPr>
            <a:t>Mid </a:t>
          </a:r>
        </a:p>
      </xdr:txBody>
    </xdr:sp>
    <xdr:clientData/>
  </xdr:twoCellAnchor>
  <xdr:twoCellAnchor>
    <xdr:from>
      <xdr:col>2</xdr:col>
      <xdr:colOff>471843</xdr:colOff>
      <xdr:row>87</xdr:row>
      <xdr:rowOff>32506</xdr:rowOff>
    </xdr:from>
    <xdr:to>
      <xdr:col>4</xdr:col>
      <xdr:colOff>372205</xdr:colOff>
      <xdr:row>88</xdr:row>
      <xdr:rowOff>119279</xdr:rowOff>
    </xdr:to>
    <xdr:sp macro="" textlink="">
      <xdr:nvSpPr>
        <xdr:cNvPr id="75" name="TextBox 5">
          <a:extLst>
            <a:ext uri="{FF2B5EF4-FFF2-40B4-BE49-F238E27FC236}">
              <a16:creationId xmlns:a16="http://schemas.microsoft.com/office/drawing/2014/main" id="{D1DA0630-66AB-4C17-BD85-AACA6782CD34}"/>
            </a:ext>
          </a:extLst>
        </xdr:cNvPr>
        <xdr:cNvSpPr txBox="1"/>
      </xdr:nvSpPr>
      <xdr:spPr>
        <a:xfrm>
          <a:off x="1780885" y="13956574"/>
          <a:ext cx="1209404" cy="24523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Arial" panose="020B0604020202020204" pitchFamily="34" charset="0"/>
              <a:cs typeface="Arial" panose="020B0604020202020204" pitchFamily="34" charset="0"/>
            </a:rPr>
            <a:t>Best</a:t>
          </a:r>
        </a:p>
      </xdr:txBody>
    </xdr:sp>
    <xdr:clientData/>
  </xdr:twoCellAnchor>
  <xdr:twoCellAnchor>
    <xdr:from>
      <xdr:col>7</xdr:col>
      <xdr:colOff>344173</xdr:colOff>
      <xdr:row>87</xdr:row>
      <xdr:rowOff>31876</xdr:rowOff>
    </xdr:from>
    <xdr:to>
      <xdr:col>8</xdr:col>
      <xdr:colOff>251254</xdr:colOff>
      <xdr:row>88</xdr:row>
      <xdr:rowOff>127029</xdr:rowOff>
    </xdr:to>
    <xdr:sp macro="" textlink="">
      <xdr:nvSpPr>
        <xdr:cNvPr id="76" name="TextBox 6">
          <a:extLst>
            <a:ext uri="{FF2B5EF4-FFF2-40B4-BE49-F238E27FC236}">
              <a16:creationId xmlns:a16="http://schemas.microsoft.com/office/drawing/2014/main" id="{52E2D5B8-60B2-44FF-BF9A-20FEBF7ECAE1}"/>
            </a:ext>
          </a:extLst>
        </xdr:cNvPr>
        <xdr:cNvSpPr txBox="1"/>
      </xdr:nvSpPr>
      <xdr:spPr>
        <a:xfrm>
          <a:off x="4925819" y="13955944"/>
          <a:ext cx="561601" cy="25361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Arial" panose="020B0604020202020204" pitchFamily="34" charset="0"/>
              <a:cs typeface="Arial" panose="020B0604020202020204" pitchFamily="34" charset="0"/>
            </a:rPr>
            <a:t>Worst</a:t>
          </a:r>
        </a:p>
      </xdr:txBody>
    </xdr:sp>
    <xdr:clientData/>
  </xdr:twoCellAnchor>
  <xdr:twoCellAnchor>
    <xdr:from>
      <xdr:col>5</xdr:col>
      <xdr:colOff>191857</xdr:colOff>
      <xdr:row>87</xdr:row>
      <xdr:rowOff>54851</xdr:rowOff>
    </xdr:from>
    <xdr:to>
      <xdr:col>5</xdr:col>
      <xdr:colOff>619609</xdr:colOff>
      <xdr:row>88</xdr:row>
      <xdr:rowOff>143523</xdr:rowOff>
    </xdr:to>
    <xdr:sp macro="" textlink="">
      <xdr:nvSpPr>
        <xdr:cNvPr id="77" name="TextBox 6">
          <a:extLst>
            <a:ext uri="{FF2B5EF4-FFF2-40B4-BE49-F238E27FC236}">
              <a16:creationId xmlns:a16="http://schemas.microsoft.com/office/drawing/2014/main" id="{D4C4AAFC-40FD-4547-90DE-6450AC7D7320}"/>
            </a:ext>
          </a:extLst>
        </xdr:cNvPr>
        <xdr:cNvSpPr txBox="1"/>
      </xdr:nvSpPr>
      <xdr:spPr>
        <a:xfrm>
          <a:off x="3464461" y="13978919"/>
          <a:ext cx="427752" cy="24713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Arial" panose="020B0604020202020204" pitchFamily="34" charset="0"/>
              <a:cs typeface="Arial" panose="020B0604020202020204" pitchFamily="34" charset="0"/>
            </a:rPr>
            <a:t>Mid </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93404</xdr:colOff>
      <xdr:row>17</xdr:row>
      <xdr:rowOff>141592</xdr:rowOff>
    </xdr:from>
    <xdr:ext cx="6716229" cy="3716571"/>
    <xdr:pic>
      <xdr:nvPicPr>
        <xdr:cNvPr id="2" name="Picture 1">
          <a:extLst>
            <a:ext uri="{FF2B5EF4-FFF2-40B4-BE49-F238E27FC236}">
              <a16:creationId xmlns:a16="http://schemas.microsoft.com/office/drawing/2014/main" id="{B2110EDA-533D-4E2F-B7D3-600C1F1917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547" y="3287563"/>
          <a:ext cx="6716229" cy="37165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538081</xdr:colOff>
      <xdr:row>17</xdr:row>
      <xdr:rowOff>146894</xdr:rowOff>
    </xdr:from>
    <xdr:ext cx="6735720" cy="3719924"/>
    <xdr:pic>
      <xdr:nvPicPr>
        <xdr:cNvPr id="3" name="Picture 2">
          <a:extLst>
            <a:ext uri="{FF2B5EF4-FFF2-40B4-BE49-F238E27FC236}">
              <a16:creationId xmlns:a16="http://schemas.microsoft.com/office/drawing/2014/main" id="{D89642DA-57B2-4E48-9D19-286E282A6E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22652" y="3292865"/>
          <a:ext cx="6735720" cy="37199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0</xdr:colOff>
      <xdr:row>87</xdr:row>
      <xdr:rowOff>0</xdr:rowOff>
    </xdr:from>
    <xdr:to>
      <xdr:col>23</xdr:col>
      <xdr:colOff>28173</xdr:colOff>
      <xdr:row>115</xdr:row>
      <xdr:rowOff>158095</xdr:rowOff>
    </xdr:to>
    <xdr:pic>
      <xdr:nvPicPr>
        <xdr:cNvPr id="4" name="Picture 3">
          <a:extLst>
            <a:ext uri="{FF2B5EF4-FFF2-40B4-BE49-F238E27FC236}">
              <a16:creationId xmlns:a16="http://schemas.microsoft.com/office/drawing/2014/main" id="{C412562F-6590-DBC7-276F-84770398EE36}"/>
            </a:ext>
          </a:extLst>
        </xdr:cNvPr>
        <xdr:cNvPicPr>
          <a:picLocks noChangeAspect="1"/>
        </xdr:cNvPicPr>
      </xdr:nvPicPr>
      <xdr:blipFill>
        <a:blip xmlns:r="http://schemas.openxmlformats.org/officeDocument/2006/relationships" r:embed="rId3"/>
        <a:stretch>
          <a:fillRect/>
        </a:stretch>
      </xdr:blipFill>
      <xdr:spPr>
        <a:xfrm>
          <a:off x="5910753" y="15784286"/>
          <a:ext cx="11066667" cy="52380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161472</xdr:colOff>
      <xdr:row>25</xdr:row>
      <xdr:rowOff>30665</xdr:rowOff>
    </xdr:from>
    <xdr:to>
      <xdr:col>3</xdr:col>
      <xdr:colOff>467626</xdr:colOff>
      <xdr:row>39</xdr:row>
      <xdr:rowOff>68491</xdr:rowOff>
    </xdr:to>
    <xdr:graphicFrame macro="">
      <xdr:nvGraphicFramePr>
        <xdr:cNvPr id="2" name="Chart 1">
          <a:extLst>
            <a:ext uri="{FF2B5EF4-FFF2-40B4-BE49-F238E27FC236}">
              <a16:creationId xmlns:a16="http://schemas.microsoft.com/office/drawing/2014/main" id="{F22AD6CE-7198-4FA3-9AEA-5FF199D54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201709</xdr:colOff>
      <xdr:row>24</xdr:row>
      <xdr:rowOff>47070</xdr:rowOff>
    </xdr:from>
    <xdr:to>
      <xdr:col>8</xdr:col>
      <xdr:colOff>364317</xdr:colOff>
      <xdr:row>39</xdr:row>
      <xdr:rowOff>39967</xdr:rowOff>
    </xdr:to>
    <xdr:graphicFrame macro="">
      <xdr:nvGraphicFramePr>
        <xdr:cNvPr id="3" name="Chart 2">
          <a:extLst>
            <a:ext uri="{FF2B5EF4-FFF2-40B4-BE49-F238E27FC236}">
              <a16:creationId xmlns:a16="http://schemas.microsoft.com/office/drawing/2014/main" id="{E74940FB-8180-4228-A189-4868DE969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154708</xdr:colOff>
      <xdr:row>25</xdr:row>
      <xdr:rowOff>59129</xdr:rowOff>
    </xdr:from>
    <xdr:to>
      <xdr:col>13</xdr:col>
      <xdr:colOff>796884</xdr:colOff>
      <xdr:row>40</xdr:row>
      <xdr:rowOff>20459</xdr:rowOff>
    </xdr:to>
    <xdr:graphicFrame macro="">
      <xdr:nvGraphicFramePr>
        <xdr:cNvPr id="4" name="Chart 3">
          <a:extLst>
            <a:ext uri="{FF2B5EF4-FFF2-40B4-BE49-F238E27FC236}">
              <a16:creationId xmlns:a16="http://schemas.microsoft.com/office/drawing/2014/main" id="{447DD59A-2B51-4147-BD87-32BFD63F4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882550</xdr:colOff>
      <xdr:row>24</xdr:row>
      <xdr:rowOff>101339</xdr:rowOff>
    </xdr:from>
    <xdr:to>
      <xdr:col>19</xdr:col>
      <xdr:colOff>650107</xdr:colOff>
      <xdr:row>39</xdr:row>
      <xdr:rowOff>151496</xdr:rowOff>
    </xdr:to>
    <xdr:graphicFrame macro="">
      <xdr:nvGraphicFramePr>
        <xdr:cNvPr id="5" name="Chart 4">
          <a:extLst>
            <a:ext uri="{FF2B5EF4-FFF2-40B4-BE49-F238E27FC236}">
              <a16:creationId xmlns:a16="http://schemas.microsoft.com/office/drawing/2014/main" id="{9C461E7D-7437-4C64-A50D-2B44F1E09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936422</xdr:colOff>
      <xdr:row>28</xdr:row>
      <xdr:rowOff>122464</xdr:rowOff>
    </xdr:from>
    <xdr:to>
      <xdr:col>16</xdr:col>
      <xdr:colOff>120520</xdr:colOff>
      <xdr:row>65</xdr:row>
      <xdr:rowOff>72412</xdr:rowOff>
    </xdr:to>
    <xdr:graphicFrame macro="">
      <xdr:nvGraphicFramePr>
        <xdr:cNvPr id="7" name="Chart 6">
          <a:extLst>
            <a:ext uri="{FF2B5EF4-FFF2-40B4-BE49-F238E27FC236}">
              <a16:creationId xmlns:a16="http://schemas.microsoft.com/office/drawing/2014/main" id="{7C0B486B-DD60-4127-A911-B572A45B8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186919</xdr:colOff>
      <xdr:row>29</xdr:row>
      <xdr:rowOff>47870</xdr:rowOff>
    </xdr:from>
    <xdr:to>
      <xdr:col>21</xdr:col>
      <xdr:colOff>1697714</xdr:colOff>
      <xdr:row>65</xdr:row>
      <xdr:rowOff>90296</xdr:rowOff>
    </xdr:to>
    <xdr:graphicFrame macro="">
      <xdr:nvGraphicFramePr>
        <xdr:cNvPr id="8" name="Chart 7">
          <a:extLst>
            <a:ext uri="{FF2B5EF4-FFF2-40B4-BE49-F238E27FC236}">
              <a16:creationId xmlns:a16="http://schemas.microsoft.com/office/drawing/2014/main" id="{405A91DB-58B8-45C2-B39C-5E8FA92B9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1693521</xdr:colOff>
      <xdr:row>29</xdr:row>
      <xdr:rowOff>9224</xdr:rowOff>
    </xdr:from>
    <xdr:to>
      <xdr:col>33</xdr:col>
      <xdr:colOff>106790</xdr:colOff>
      <xdr:row>65</xdr:row>
      <xdr:rowOff>101476</xdr:rowOff>
    </xdr:to>
    <xdr:graphicFrame macro="">
      <xdr:nvGraphicFramePr>
        <xdr:cNvPr id="4" name="Chart 3">
          <a:extLst>
            <a:ext uri="{FF2B5EF4-FFF2-40B4-BE49-F238E27FC236}">
              <a16:creationId xmlns:a16="http://schemas.microsoft.com/office/drawing/2014/main" id="{124FAC3E-5BEB-4E20-BBE1-EB4185B33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614067</xdr:colOff>
      <xdr:row>38</xdr:row>
      <xdr:rowOff>83027</xdr:rowOff>
    </xdr:from>
    <xdr:to>
      <xdr:col>48</xdr:col>
      <xdr:colOff>571962</xdr:colOff>
      <xdr:row>60</xdr:row>
      <xdr:rowOff>83026</xdr:rowOff>
    </xdr:to>
    <xdr:graphicFrame macro="">
      <xdr:nvGraphicFramePr>
        <xdr:cNvPr id="5" name="Chart 4">
          <a:extLst>
            <a:ext uri="{FF2B5EF4-FFF2-40B4-BE49-F238E27FC236}">
              <a16:creationId xmlns:a16="http://schemas.microsoft.com/office/drawing/2014/main" id="{515B7536-7D7A-4C77-B22D-D95E7107F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747967</xdr:colOff>
      <xdr:row>73</xdr:row>
      <xdr:rowOff>76466</xdr:rowOff>
    </xdr:from>
    <xdr:to>
      <xdr:col>15</xdr:col>
      <xdr:colOff>1491827</xdr:colOff>
      <xdr:row>111</xdr:row>
      <xdr:rowOff>35904</xdr:rowOff>
    </xdr:to>
    <xdr:graphicFrame macro="">
      <xdr:nvGraphicFramePr>
        <xdr:cNvPr id="2" name="Chart 1">
          <a:extLst>
            <a:ext uri="{FF2B5EF4-FFF2-40B4-BE49-F238E27FC236}">
              <a16:creationId xmlns:a16="http://schemas.microsoft.com/office/drawing/2014/main" id="{ACA973C4-226C-43AA-8454-4E7E42144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53915</xdr:colOff>
      <xdr:row>71</xdr:row>
      <xdr:rowOff>125801</xdr:rowOff>
    </xdr:from>
    <xdr:to>
      <xdr:col>21</xdr:col>
      <xdr:colOff>1567432</xdr:colOff>
      <xdr:row>110</xdr:row>
      <xdr:rowOff>32618</xdr:rowOff>
    </xdr:to>
    <xdr:graphicFrame macro="">
      <xdr:nvGraphicFramePr>
        <xdr:cNvPr id="6" name="Chart 5">
          <a:extLst>
            <a:ext uri="{FF2B5EF4-FFF2-40B4-BE49-F238E27FC236}">
              <a16:creationId xmlns:a16="http://schemas.microsoft.com/office/drawing/2014/main" id="{69B61004-62C3-4A32-8478-BB33E5452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266097</xdr:colOff>
      <xdr:row>71</xdr:row>
      <xdr:rowOff>12095</xdr:rowOff>
    </xdr:from>
    <xdr:to>
      <xdr:col>33</xdr:col>
      <xdr:colOff>421081</xdr:colOff>
      <xdr:row>107</xdr:row>
      <xdr:rowOff>104347</xdr:rowOff>
    </xdr:to>
    <xdr:graphicFrame macro="">
      <xdr:nvGraphicFramePr>
        <xdr:cNvPr id="3" name="Chart 2">
          <a:extLst>
            <a:ext uri="{FF2B5EF4-FFF2-40B4-BE49-F238E27FC236}">
              <a16:creationId xmlns:a16="http://schemas.microsoft.com/office/drawing/2014/main" id="{B570FD97-2920-409F-9DBA-642D7C24D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1506752</xdr:colOff>
      <xdr:row>3</xdr:row>
      <xdr:rowOff>201314</xdr:rowOff>
    </xdr:from>
    <xdr:to>
      <xdr:col>11</xdr:col>
      <xdr:colOff>931077</xdr:colOff>
      <xdr:row>24</xdr:row>
      <xdr:rowOff>31401</xdr:rowOff>
    </xdr:to>
    <xdr:graphicFrame macro="">
      <xdr:nvGraphicFramePr>
        <xdr:cNvPr id="2" name="Chart 1">
          <a:extLst>
            <a:ext uri="{FF2B5EF4-FFF2-40B4-BE49-F238E27FC236}">
              <a16:creationId xmlns:a16="http://schemas.microsoft.com/office/drawing/2014/main" id="{61825E15-0647-4CCC-9CF2-5A610046A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1520751</xdr:colOff>
      <xdr:row>25</xdr:row>
      <xdr:rowOff>30389</xdr:rowOff>
    </xdr:from>
    <xdr:to>
      <xdr:col>11</xdr:col>
      <xdr:colOff>950622</xdr:colOff>
      <xdr:row>46</xdr:row>
      <xdr:rowOff>35483</xdr:rowOff>
    </xdr:to>
    <xdr:graphicFrame macro="">
      <xdr:nvGraphicFramePr>
        <xdr:cNvPr id="3" name="Chart 2">
          <a:extLst>
            <a:ext uri="{FF2B5EF4-FFF2-40B4-BE49-F238E27FC236}">
              <a16:creationId xmlns:a16="http://schemas.microsoft.com/office/drawing/2014/main" id="{6024D6AE-ACB8-493E-8FD6-1C501DBA8B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621534</xdr:colOff>
      <xdr:row>9</xdr:row>
      <xdr:rowOff>134485</xdr:rowOff>
    </xdr:from>
    <xdr:to>
      <xdr:col>24</xdr:col>
      <xdr:colOff>636536</xdr:colOff>
      <xdr:row>21</xdr:row>
      <xdr:rowOff>92253</xdr:rowOff>
    </xdr:to>
    <xdr:graphicFrame macro="">
      <xdr:nvGraphicFramePr>
        <xdr:cNvPr id="5" name="Chart 4">
          <a:extLst>
            <a:ext uri="{FF2B5EF4-FFF2-40B4-BE49-F238E27FC236}">
              <a16:creationId xmlns:a16="http://schemas.microsoft.com/office/drawing/2014/main" id="{0D83BC61-50E8-43E1-AD4D-C683BC419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597554</xdr:colOff>
      <xdr:row>23</xdr:row>
      <xdr:rowOff>27675</xdr:rowOff>
    </xdr:from>
    <xdr:to>
      <xdr:col>24</xdr:col>
      <xdr:colOff>599637</xdr:colOff>
      <xdr:row>36</xdr:row>
      <xdr:rowOff>80320</xdr:rowOff>
    </xdr:to>
    <xdr:graphicFrame macro="">
      <xdr:nvGraphicFramePr>
        <xdr:cNvPr id="6" name="Chart 5">
          <a:extLst>
            <a:ext uri="{FF2B5EF4-FFF2-40B4-BE49-F238E27FC236}">
              <a16:creationId xmlns:a16="http://schemas.microsoft.com/office/drawing/2014/main" id="{B8D929FE-A906-4099-BC2E-3AF43A485F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581826</xdr:colOff>
      <xdr:row>37</xdr:row>
      <xdr:rowOff>155317</xdr:rowOff>
    </xdr:from>
    <xdr:to>
      <xdr:col>24</xdr:col>
      <xdr:colOff>608862</xdr:colOff>
      <xdr:row>51</xdr:row>
      <xdr:rowOff>18860</xdr:rowOff>
    </xdr:to>
    <xdr:graphicFrame macro="">
      <xdr:nvGraphicFramePr>
        <xdr:cNvPr id="7" name="Chart 6">
          <a:extLst>
            <a:ext uri="{FF2B5EF4-FFF2-40B4-BE49-F238E27FC236}">
              <a16:creationId xmlns:a16="http://schemas.microsoft.com/office/drawing/2014/main" id="{CEB9969C-AAA8-4EA1-9B6B-BF689C1026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586107</xdr:colOff>
      <xdr:row>53</xdr:row>
      <xdr:rowOff>35512</xdr:rowOff>
    </xdr:from>
    <xdr:to>
      <xdr:col>24</xdr:col>
      <xdr:colOff>625951</xdr:colOff>
      <xdr:row>66</xdr:row>
      <xdr:rowOff>80258</xdr:rowOff>
    </xdr:to>
    <xdr:graphicFrame macro="">
      <xdr:nvGraphicFramePr>
        <xdr:cNvPr id="10" name="Chart 9">
          <a:extLst>
            <a:ext uri="{FF2B5EF4-FFF2-40B4-BE49-F238E27FC236}">
              <a16:creationId xmlns:a16="http://schemas.microsoft.com/office/drawing/2014/main" id="{74231F6D-E321-4C92-B92C-C89C9A525E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416718</xdr:colOff>
      <xdr:row>8</xdr:row>
      <xdr:rowOff>148829</xdr:rowOff>
    </xdr:from>
    <xdr:to>
      <xdr:col>38</xdr:col>
      <xdr:colOff>258305</xdr:colOff>
      <xdr:row>20</xdr:row>
      <xdr:rowOff>151550</xdr:rowOff>
    </xdr:to>
    <xdr:graphicFrame macro="">
      <xdr:nvGraphicFramePr>
        <xdr:cNvPr id="11" name="Chart 10">
          <a:extLst>
            <a:ext uri="{FF2B5EF4-FFF2-40B4-BE49-F238E27FC236}">
              <a16:creationId xmlns:a16="http://schemas.microsoft.com/office/drawing/2014/main" id="{E6D8196C-DC8F-446E-AEF7-7088A6000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400989</xdr:colOff>
      <xdr:row>22</xdr:row>
      <xdr:rowOff>156829</xdr:rowOff>
    </xdr:from>
    <xdr:to>
      <xdr:col>38</xdr:col>
      <xdr:colOff>295207</xdr:colOff>
      <xdr:row>34</xdr:row>
      <xdr:rowOff>65228</xdr:rowOff>
    </xdr:to>
    <xdr:graphicFrame macro="">
      <xdr:nvGraphicFramePr>
        <xdr:cNvPr id="12" name="Chart 11">
          <a:extLst>
            <a:ext uri="{FF2B5EF4-FFF2-40B4-BE49-F238E27FC236}">
              <a16:creationId xmlns:a16="http://schemas.microsoft.com/office/drawing/2014/main" id="{396CE742-A186-4E62-A711-9E41A38C7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32</xdr:col>
      <xdr:colOff>437043</xdr:colOff>
      <xdr:row>45</xdr:row>
      <xdr:rowOff>162351</xdr:rowOff>
    </xdr:from>
    <xdr:to>
      <xdr:col>38</xdr:col>
      <xdr:colOff>285982</xdr:colOff>
      <xdr:row>57</xdr:row>
      <xdr:rowOff>97994</xdr:rowOff>
    </xdr:to>
    <xdr:graphicFrame macro="">
      <xdr:nvGraphicFramePr>
        <xdr:cNvPr id="14" name="Chart 13">
          <a:extLst>
            <a:ext uri="{FF2B5EF4-FFF2-40B4-BE49-F238E27FC236}">
              <a16:creationId xmlns:a16="http://schemas.microsoft.com/office/drawing/2014/main" id="{ADA82372-6E90-4DF1-B1F7-4A437140E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1455540</xdr:colOff>
      <xdr:row>47</xdr:row>
      <xdr:rowOff>82520</xdr:rowOff>
    </xdr:from>
    <xdr:to>
      <xdr:col>11</xdr:col>
      <xdr:colOff>904749</xdr:colOff>
      <xdr:row>66</xdr:row>
      <xdr:rowOff>18592</xdr:rowOff>
    </xdr:to>
    <xdr:graphicFrame macro="">
      <xdr:nvGraphicFramePr>
        <xdr:cNvPr id="13" name="Chart 12">
          <a:extLst>
            <a:ext uri="{FF2B5EF4-FFF2-40B4-BE49-F238E27FC236}">
              <a16:creationId xmlns:a16="http://schemas.microsoft.com/office/drawing/2014/main" id="{416FFACF-FEEB-489E-ACCC-1246D8972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2721</xdr:colOff>
      <xdr:row>0</xdr:row>
      <xdr:rowOff>5442</xdr:rowOff>
    </xdr:from>
    <xdr:to>
      <xdr:col>11</xdr:col>
      <xdr:colOff>323850</xdr:colOff>
      <xdr:row>12</xdr:row>
      <xdr:rowOff>47625</xdr:rowOff>
    </xdr:to>
    <xdr:graphicFrame macro="">
      <xdr:nvGraphicFramePr>
        <xdr:cNvPr id="2" name="Chart 1">
          <a:extLst>
            <a:ext uri="{FF2B5EF4-FFF2-40B4-BE49-F238E27FC236}">
              <a16:creationId xmlns:a16="http://schemas.microsoft.com/office/drawing/2014/main" id="{A4018053-FA66-4706-A553-AD0C5E1F7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Jessica K. Lee" id="{B051B7F8-4531-429E-9E65-0BBDCDC648B7}" userId="S::Jessica.K.Lee@imegcorp.com::6ad903ba-e8df-495d-a48a-bf38b5e1d613"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9" dT="2024-06-05T20:35:14.28" personId="{B051B7F8-4531-429E-9E65-0BBDCDC648B7}" id="{19081C3B-27FD-4511-AC1E-8402A6BFD9DE}">
    <text>Joe DTE Rate Changes and Solar</text>
  </threadedComment>
</ThreadedComments>
</file>

<file path=xl/threadedComments/threadedComment2.xml><?xml version="1.0" encoding="utf-8"?>
<ThreadedComments xmlns="http://schemas.microsoft.com/office/spreadsheetml/2018/threadedcomments" xmlns:x="http://schemas.openxmlformats.org/spreadsheetml/2006/main">
  <threadedComment ref="K2" dT="2024-08-29T20:53:50.27" personId="{B051B7F8-4531-429E-9E65-0BBDCDC648B7}" id="{A9D26999-2AD5-4EE4-B059-E78BA5921554}">
    <text>Green Text = based on data from energy audits. 
Red Text = assumptions</text>
  </threadedComment>
  <threadedComment ref="F35" dT="2024-06-27T18:19:35.85" personId="{B051B7F8-4531-429E-9E65-0BBDCDC648B7}" id="{0690BFED-77C5-4CBD-88AA-D2F9FADC368C}">
    <text>Thea - DTE/Utility provided information, general estimates</text>
  </threadedComment>
  <threadedComment ref="H35" dT="2024-06-05T20:41:10.39" personId="{B051B7F8-4531-429E-9E65-0BBDCDC648B7}" id="{9B67D3CC-0533-4C1A-B54D-D4E75360C29F}">
    <text>Joe - DTE Solar Outflow Values</text>
  </threadedComment>
  <threadedComment ref="D42" dT="2024-06-27T18:16:42.33" personId="{B051B7F8-4531-429E-9E65-0BBDCDC648B7}" id="{014251F3-DE69-457B-A856-2DC17DBD8E32}">
    <text>Thea - DTE Electricity Emissions Estimate and Forecast</text>
  </threadedComment>
</ThreadedComments>
</file>

<file path=xl/threadedComments/threadedComment3.xml><?xml version="1.0" encoding="utf-8"?>
<ThreadedComments xmlns="http://schemas.microsoft.com/office/spreadsheetml/2018/threadedcomments" xmlns:x="http://schemas.openxmlformats.org/spreadsheetml/2006/main">
  <threadedComment ref="A22" dT="2024-05-22T14:10:18.48" personId="{B051B7F8-4531-429E-9E65-0BBDCDC648B7}" id="{8405E5EE-FFDD-4AEB-BD09-DDB56919A7EF}">
    <text>Replace with values from the geothermal model switch</text>
  </threadedComment>
</ThreadedComments>
</file>

<file path=xl/threadedComments/threadedComment4.xml><?xml version="1.0" encoding="utf-8"?>
<ThreadedComments xmlns="http://schemas.microsoft.com/office/spreadsheetml/2018/threadedcomments" xmlns:x="http://schemas.openxmlformats.org/spreadsheetml/2006/main">
  <threadedComment ref="B1" dT="2024-09-04T22:28:53.68" personId="{B051B7F8-4531-429E-9E65-0BBDCDC648B7}" id="{81334148-2064-45CA-832E-750EF1C0DC4C}">
    <text>PV Watts?</text>
  </threadedComment>
</ThreadedComments>
</file>

<file path=xl/threadedComments/threadedComment5.xml><?xml version="1.0" encoding="utf-8"?>
<ThreadedComments xmlns="http://schemas.microsoft.com/office/spreadsheetml/2018/threadedcomments" xmlns:x="http://schemas.openxmlformats.org/spreadsheetml/2006/main">
  <threadedComment ref="AB2" dT="2024-08-14T22:58:55.47" personId="{B051B7F8-4531-429E-9E65-0BBDCDC648B7}" id="{5472C80A-F6D9-4B80-BB9A-B8EB1208D875}">
    <text>This includes the pump energy required by the geothermal field, not the homeowner pumping energy</text>
  </threadedComment>
  <threadedComment ref="P7" dT="2024-02-22T18:21:14.35" personId="{B051B7F8-4531-429E-9E65-0BBDCDC648B7}" id="{E6AC36B8-68B2-4165-91EA-81A84ECDA491}">
    <text>From CC Full Report</text>
  </threadedComment>
  <threadedComment ref="R17" dT="2024-06-21T19:47:35.18" personId="{B051B7F8-4531-429E-9E65-0BBDCDC648B7}" id="{CB630906-DC47-421D-8037-24445D7F4409}">
    <text>Hook up RTU to Geo, Electric Reheat</text>
  </threadedComment>
  <threadedComment ref="R17" dT="2024-06-21T19:48:58.71" personId="{B051B7F8-4531-429E-9E65-0BBDCDC648B7}" id="{6C5E77C9-1068-44B6-8891-CB0305AB80A8}" parentId="{CB630906-DC47-421D-8037-24445D7F4409}">
    <text>Cop will be 10-15% lower than the homes</text>
  </threadedComment>
  <threadedComment ref="T17" dT="2024-06-21T19:48:22.73" personId="{B051B7F8-4531-429E-9E65-0BBDCDC648B7}" id="{F2D30CEF-B8D2-4891-BB64-A0292A4FBE6E}">
    <text>Flips okay to geo using elem</text>
  </threadedComment>
  <threadedComment ref="F35" dT="2024-08-14T23:01:16.01" personId="{B051B7F8-4531-429E-9E65-0BBDCDC648B7}" id="{239061C8-D6E2-4F23-BE49-E928A3720898}">
    <text>Thea - DTE Electricity Emissions Estimate and Forecast</text>
  </threadedComment>
  <threadedComment ref="J35" dT="2024-07-31T23:20:32.54" personId="{B051B7F8-4531-429E-9E65-0BBDCDC648B7}" id="{44A0F05D-A759-46C5-8423-75617B248B5A}">
    <text>EIA 2022</text>
  </threadedComment>
  <threadedComment ref="F36" dT="2024-08-14T23:01:24.83" personId="{B051B7F8-4531-429E-9E65-0BBDCDC648B7}" id="{B2625BB5-22B2-4F63-8572-6CC80B17FCB1}">
    <text>Thea - DTE Electricity Emissions Estimate and Forecast</text>
  </threadedComment>
  <threadedComment ref="J36" dT="2024-07-31T23:21:21.85" personId="{B051B7F8-4531-429E-9E65-0BBDCDC648B7}" id="{1AEBB4B9-1BC3-48BF-99E4-6F3C0DD00184}">
    <text>EIA 2023</text>
  </threadedComment>
  <threadedComment ref="D42" dT="2024-08-08T17:59:50.42" personId="{B051B7F8-4531-429E-9E65-0BBDCDC648B7}" id="{564379AE-4E57-4E7C-98DD-BE059B9D3A31}">
    <text>Thea - DTE Electricity Emissions Estimate and Forecast</text>
  </threadedComment>
  <threadedComment ref="D42" dT="2024-08-14T23:01:39.34" personId="{B051B7F8-4531-429E-9E65-0BBDCDC648B7}" id="{CBE1B47F-46FA-40BF-A818-35AF89283D99}" parentId="{564379AE-4E57-4E7C-98DD-BE059B9D3A31}">
    <text>1216.4 lbs/MWH on power profile</text>
  </threadedComment>
</ThreadedComments>
</file>

<file path=xl/threadedComments/threadedComment6.xml><?xml version="1.0" encoding="utf-8"?>
<ThreadedComments xmlns="http://schemas.microsoft.com/office/spreadsheetml/2018/threadedcomments" xmlns:x="http://schemas.openxmlformats.org/spreadsheetml/2006/main">
  <threadedComment ref="CE2" dT="2024-08-13T18:28:42.48" personId="{B051B7F8-4531-429E-9E65-0BBDCDC648B7}" id="{7BDEFF7F-99BB-4477-BAEE-86F286D30A68}">
    <text>The heating, cooling, fans, and pumps were scaled using the ratios between the Existing and Geo models for the Elementary School</text>
  </threadedComment>
  <threadedComment ref="CU2" dT="2024-08-13T18:29:00.90" personId="{B051B7F8-4531-429E-9E65-0BBDCDC648B7}" id="{B7C0B23B-7F18-40EA-8A3D-B783B83CC649}">
    <text>The heating, cooling, fans, and pumps were scaled using the ratios between the Existing and Geo models for the Elementary School</text>
  </threadedComment>
  <threadedComment ref="DK2" dT="2024-08-13T18:29:06.02" personId="{B051B7F8-4531-429E-9E65-0BBDCDC648B7}" id="{E6000919-D722-4B48-A13D-3E479092AA00}">
    <text>The heating, cooling, fans, and pumps were scaled using the ratios between the Existing and Geo models for the Elementary School</text>
  </threadedComment>
  <threadedComment ref="EA2" dT="2024-08-13T18:29:13.28" personId="{B051B7F8-4531-429E-9E65-0BBDCDC648B7}" id="{16734F81-C8DE-4E16-A12A-6ED1F4D633E2}">
    <text>The heating, cooling, fans, and pumps were scaled using the ratios between the Existing and Geo models for the Elementary School</text>
  </threadedComment>
  <threadedComment ref="AJ11" dT="2024-08-14T23:03:51.10" personId="{B051B7F8-4531-429E-9E65-0BBDCDC648B7}" id="{D1EE2406-CE4D-42F7-83F6-E20CABC5CA36}">
    <text>Buffer of 25%</text>
  </threadedComment>
  <threadedComment ref="AZ11" dT="2024-08-14T23:03:42.45" personId="{B051B7F8-4531-429E-9E65-0BBDCDC648B7}" id="{E2DD1AAF-BA61-4467-B954-E744C0B81DD5}">
    <text>Buffer of 25%</text>
  </threadedComment>
  <threadedComment ref="BP11" dT="2024-08-14T23:03:34.38" personId="{B051B7F8-4531-429E-9E65-0BBDCDC648B7}" id="{FD82D5B0-438F-4E81-BFEE-3241637B1A0E}">
    <text>Buffer of 25%</text>
  </threadedComment>
  <threadedComment ref="CF11" dT="2024-08-14T23:03:29.12" personId="{B051B7F8-4531-429E-9E65-0BBDCDC648B7}" id="{FBE5E833-DE41-423E-ADE8-C3C33B1CCA0D}">
    <text>Buffer of 25%</text>
  </threadedComment>
  <threadedComment ref="CV11" dT="2024-08-14T23:03:22.48" personId="{B051B7F8-4531-429E-9E65-0BBDCDC648B7}" id="{C733784E-D746-4BC7-8183-32EBDD9A6352}">
    <text>Buffer of 25%</text>
  </threadedComment>
  <threadedComment ref="DL11" dT="2024-08-14T23:03:13.75" personId="{B051B7F8-4531-429E-9E65-0BBDCDC648B7}" id="{FF9F11AF-2C7D-4FF5-BDA6-16EB1B184945}">
    <text>Buffer of 25%</text>
  </threadedComment>
  <threadedComment ref="EB11" dT="2024-08-14T23:03:03.44" personId="{B051B7F8-4531-429E-9E65-0BBDCDC648B7}" id="{E996B4B1-793D-4BE8-9891-1B482434B3AB}">
    <text>Buffer of 25%</text>
  </threadedComment>
  <threadedComment ref="EJ11" dT="2024-08-14T23:02:57.13" personId="{B051B7F8-4531-429E-9E65-0BBDCDC648B7}" id="{51F1106F-9F2B-461E-8FE9-E9EFC951ECC0}">
    <text>Buffer of 25%</text>
  </threadedComment>
  <threadedComment ref="Y46" dT="2024-09-24T20:21:16.50" personId="{B051B7F8-4531-429E-9E65-0BBDCDC648B7}" id="{A72C6D1E-CB99-4181-94DB-28046BE33708}">
    <text>Pulled from Carbon Grid Emissions spreadsheet</text>
  </threadedComment>
  <threadedComment ref="B52" dT="2024-08-14T23:04:32.93" personId="{B051B7F8-4531-429E-9E65-0BBDCDC648B7}" id="{F0610CFF-004E-4435-8D1B-2450A678B28F}">
    <text>Pumps have a buffer of 25% for contingency</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6.xml"/><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9155F-B5C4-46FA-AFE8-929F86324FC2}">
  <sheetPr>
    <tabColor theme="8" tint="0.39997558519241921"/>
  </sheetPr>
  <dimension ref="B2:Z45"/>
  <sheetViews>
    <sheetView zoomScale="85" zoomScaleNormal="85" workbookViewId="0">
      <selection activeCell="F53" sqref="F53"/>
    </sheetView>
  </sheetViews>
  <sheetFormatPr defaultColWidth="9.15234375" defaultRowHeight="12" x14ac:dyDescent="0.3"/>
  <cols>
    <col min="1" max="1" width="4.15234375" style="28" customWidth="1"/>
    <col min="2" max="2" width="6.3828125" style="30" bestFit="1" customWidth="1"/>
    <col min="3" max="3" width="29.84375" style="28" bestFit="1" customWidth="1"/>
    <col min="4" max="4" width="10" style="28" bestFit="1" customWidth="1"/>
    <col min="5" max="5" width="10.3046875" style="28" bestFit="1" customWidth="1"/>
    <col min="6" max="6" width="13.3828125" style="28" bestFit="1" customWidth="1"/>
    <col min="7" max="7" width="10.3046875" style="28" bestFit="1" customWidth="1"/>
    <col min="8" max="8" width="12.53515625" style="28" bestFit="1" customWidth="1"/>
    <col min="9" max="9" width="10.3046875" style="28" bestFit="1" customWidth="1"/>
    <col min="10" max="10" width="6.53515625" style="28" customWidth="1"/>
    <col min="11" max="11" width="27.3828125" style="28" customWidth="1"/>
    <col min="12" max="13" width="29" style="28" bestFit="1" customWidth="1"/>
    <col min="14" max="20" width="29" style="28" customWidth="1"/>
    <col min="21" max="21" width="15.15234375" style="28" bestFit="1" customWidth="1"/>
    <col min="22" max="22" width="15.53515625" style="28" customWidth="1"/>
    <col min="23" max="23" width="12" style="28" customWidth="1"/>
    <col min="24" max="24" width="15.15234375" style="28" customWidth="1"/>
    <col min="25" max="25" width="15.53515625" style="28" customWidth="1"/>
    <col min="26" max="26" width="12" style="28" customWidth="1"/>
    <col min="27" max="16384" width="9.15234375" style="28"/>
  </cols>
  <sheetData>
    <row r="2" spans="2:26" s="50" customFormat="1" ht="20.149999999999999" customHeight="1" x14ac:dyDescent="0.3">
      <c r="C2" s="653" t="s">
        <v>0</v>
      </c>
      <c r="D2" s="653" t="s">
        <v>1</v>
      </c>
      <c r="E2" s="653"/>
      <c r="F2" s="653" t="s">
        <v>2</v>
      </c>
      <c r="G2" s="653"/>
      <c r="H2" s="654" t="s">
        <v>3</v>
      </c>
      <c r="I2" s="655"/>
      <c r="K2" s="62" t="s">
        <v>4</v>
      </c>
      <c r="L2" s="59" t="s">
        <v>5</v>
      </c>
      <c r="M2" s="60" t="s">
        <v>6</v>
      </c>
      <c r="N2" s="59" t="s">
        <v>7</v>
      </c>
      <c r="O2" s="60" t="s">
        <v>8</v>
      </c>
      <c r="P2" s="59" t="s">
        <v>9</v>
      </c>
      <c r="Q2" s="60" t="s">
        <v>10</v>
      </c>
      <c r="R2" s="59" t="s">
        <v>11</v>
      </c>
      <c r="S2" s="60" t="s">
        <v>12</v>
      </c>
      <c r="T2" s="59" t="s">
        <v>13</v>
      </c>
      <c r="U2" s="42"/>
      <c r="V2" s="61" t="s">
        <v>14</v>
      </c>
      <c r="W2" s="42"/>
      <c r="X2" s="42"/>
      <c r="Y2" s="42"/>
      <c r="Z2" s="42"/>
    </row>
    <row r="3" spans="2:26" ht="20.149999999999999" customHeight="1" x14ac:dyDescent="0.3">
      <c r="B3" s="30" t="s">
        <v>15</v>
      </c>
      <c r="C3" s="653"/>
      <c r="D3" s="34" t="s">
        <v>16</v>
      </c>
      <c r="E3" s="34" t="s">
        <v>17</v>
      </c>
      <c r="F3" s="34" t="s">
        <v>18</v>
      </c>
      <c r="G3" s="34" t="s">
        <v>17</v>
      </c>
      <c r="H3" s="34" t="s">
        <v>19</v>
      </c>
      <c r="I3" s="34" t="s">
        <v>17</v>
      </c>
      <c r="K3" s="144" t="s">
        <v>20</v>
      </c>
      <c r="L3" s="77"/>
      <c r="M3" s="78"/>
      <c r="N3" s="77"/>
      <c r="O3" s="78"/>
      <c r="P3" s="77"/>
      <c r="Q3" s="78"/>
      <c r="R3" s="77"/>
      <c r="S3" s="78"/>
      <c r="T3" s="77"/>
    </row>
    <row r="4" spans="2:26" x14ac:dyDescent="0.3">
      <c r="B4" s="30">
        <v>1</v>
      </c>
      <c r="C4" s="81" t="str" cm="1">
        <f t="array" ref="C4">INDEX($L$2:$T$2,1,$B4)</f>
        <v>Baseline</v>
      </c>
      <c r="D4" s="114" cm="1">
        <f t="array" aca="1" ref="D4" ca="1">INDEX('T3D Data'!$C$44:$K$44,1,$B4)</f>
        <v>0</v>
      </c>
      <c r="E4" s="115" t="s">
        <v>21</v>
      </c>
      <c r="F4" s="117" cm="1">
        <f t="array" aca="1" ref="F4" ca="1">INDEX('T3D Data'!$C$33:$K$33,1,$B4)</f>
        <v>0</v>
      </c>
      <c r="G4" s="35" t="s">
        <v>21</v>
      </c>
      <c r="H4" s="36" cm="1">
        <f t="array" aca="1" ref="H4" ca="1">INDEX('T3D Data'!$C$48:$K$48,1,$B4)</f>
        <v>0</v>
      </c>
      <c r="I4" s="35" t="s">
        <v>21</v>
      </c>
      <c r="K4" s="74" t="s">
        <v>22</v>
      </c>
      <c r="L4" s="54" t="s">
        <v>23</v>
      </c>
      <c r="M4" s="43" t="s">
        <v>23</v>
      </c>
      <c r="N4" s="54" t="s">
        <v>23</v>
      </c>
      <c r="O4" s="43" t="s">
        <v>23</v>
      </c>
      <c r="P4" s="54" t="s">
        <v>23</v>
      </c>
      <c r="Q4" s="43" t="s">
        <v>23</v>
      </c>
      <c r="R4" s="54" t="s">
        <v>23</v>
      </c>
      <c r="S4" s="43" t="s">
        <v>23</v>
      </c>
      <c r="T4" s="54" t="s">
        <v>23</v>
      </c>
    </row>
    <row r="5" spans="2:26" x14ac:dyDescent="0.3">
      <c r="B5" s="30">
        <v>2</v>
      </c>
      <c r="C5" s="81" t="str" cm="1">
        <f t="array" ref="C5">INDEX($L$2:$T$2,1,$B5)</f>
        <v>Proposed: 1</v>
      </c>
      <c r="D5" s="114" cm="1">
        <f t="array" aca="1" ref="D5" ca="1">INDEX('T3D Data'!$C$44:$K$44,1,$B5)</f>
        <v>0</v>
      </c>
      <c r="E5" s="116" t="str">
        <f ca="1">IF(D5=0,"-",1-D5/D$4)</f>
        <v>-</v>
      </c>
      <c r="F5" s="117" cm="1">
        <f t="array" aca="1" ref="F5" ca="1">INDEX('T3D Data'!$C$33:$K$33,1,$B5)</f>
        <v>0</v>
      </c>
      <c r="G5" s="37" t="str">
        <f ca="1">IF(F5=0,"-",1-F5/F$4)</f>
        <v>-</v>
      </c>
      <c r="H5" s="36" cm="1">
        <f t="array" ref="H5">INDEX('T3D Data'!$C$53:$K$53,1,$B5)</f>
        <v>0</v>
      </c>
      <c r="I5" s="37" t="str">
        <f>IF(H5=0,"-",1-H5/H$4)</f>
        <v>-</v>
      </c>
      <c r="K5" s="74" t="s">
        <v>24</v>
      </c>
      <c r="L5" s="54" t="s">
        <v>25</v>
      </c>
      <c r="M5" s="43" t="s">
        <v>25</v>
      </c>
      <c r="N5" s="54" t="s">
        <v>25</v>
      </c>
      <c r="O5" s="43" t="s">
        <v>25</v>
      </c>
      <c r="P5" s="54" t="s">
        <v>25</v>
      </c>
      <c r="Q5" s="43" t="s">
        <v>25</v>
      </c>
      <c r="R5" s="54" t="s">
        <v>25</v>
      </c>
      <c r="S5" s="43" t="s">
        <v>25</v>
      </c>
      <c r="T5" s="54" t="s">
        <v>25</v>
      </c>
    </row>
    <row r="6" spans="2:26" x14ac:dyDescent="0.3">
      <c r="B6" s="30">
        <v>3</v>
      </c>
      <c r="C6" s="81" t="str" cm="1">
        <f t="array" ref="C6">INDEX($L$2:$T$2,1,$B6)</f>
        <v>Proposed: 2</v>
      </c>
      <c r="D6" s="114" cm="1">
        <f t="array" aca="1" ref="D6" ca="1">INDEX('T3D Data'!$C$44:$K$44,1,$B6)</f>
        <v>0</v>
      </c>
      <c r="E6" s="116" t="str">
        <f t="shared" ref="E6:E10" ca="1" si="0">IF(D6=0,"-",1-D6/D$4)</f>
        <v>-</v>
      </c>
      <c r="F6" s="117" cm="1">
        <f t="array" aca="1" ref="F6" ca="1">INDEX('T3D Data'!$C$33:$K$33,1,$B6)</f>
        <v>0</v>
      </c>
      <c r="G6" s="37" t="str">
        <f t="shared" ref="G6:G12" ca="1" si="1">IF(F6=0,"-",1-F6/F$4)</f>
        <v>-</v>
      </c>
      <c r="H6" s="36" cm="1">
        <f t="array" ref="H6">INDEX('T3D Data'!$C$53:$K$53,1,$B6)</f>
        <v>0</v>
      </c>
      <c r="I6" s="37" t="str">
        <f t="shared" ref="I6:I12" si="2">IF(H6=0,"-",1-H6/H$4)</f>
        <v>-</v>
      </c>
      <c r="K6" s="74" t="s">
        <v>26</v>
      </c>
      <c r="L6" s="55" t="s">
        <v>27</v>
      </c>
      <c r="M6" s="15" t="s">
        <v>28</v>
      </c>
      <c r="N6" s="55" t="s">
        <v>29</v>
      </c>
      <c r="O6" s="15" t="s">
        <v>30</v>
      </c>
      <c r="P6" s="55" t="s">
        <v>31</v>
      </c>
      <c r="Q6" s="15" t="s">
        <v>30</v>
      </c>
      <c r="R6" s="55" t="s">
        <v>31</v>
      </c>
      <c r="S6" s="15" t="s">
        <v>30</v>
      </c>
      <c r="T6" s="55" t="s">
        <v>31</v>
      </c>
    </row>
    <row r="7" spans="2:26" x14ac:dyDescent="0.3">
      <c r="B7" s="30">
        <v>4</v>
      </c>
      <c r="C7" s="81" t="str" cm="1">
        <f t="array" ref="C7">INDEX($L$2:$T$2,1,$B7)</f>
        <v>Proposed: 3</v>
      </c>
      <c r="D7" s="114" cm="1">
        <f t="array" aca="1" ref="D7" ca="1">INDEX('T3D Data'!$C$44:$K$44,1,$B7)</f>
        <v>0</v>
      </c>
      <c r="E7" s="116" t="str">
        <f t="shared" ca="1" si="0"/>
        <v>-</v>
      </c>
      <c r="F7" s="117" cm="1">
        <f t="array" aca="1" ref="F7" ca="1">INDEX('T3D Data'!$C$33:$K$33,1,$B7)</f>
        <v>0</v>
      </c>
      <c r="G7" s="37" t="str">
        <f t="shared" ca="1" si="1"/>
        <v>-</v>
      </c>
      <c r="H7" s="36" cm="1">
        <f t="array" ref="H7">INDEX('T3D Data'!$C$53:$K$53,1,$B7)</f>
        <v>0</v>
      </c>
      <c r="I7" s="37" t="str">
        <f t="shared" si="2"/>
        <v>-</v>
      </c>
      <c r="K7" s="74" t="s">
        <v>32</v>
      </c>
      <c r="L7" s="54" t="s">
        <v>33</v>
      </c>
      <c r="M7" s="43" t="s">
        <v>34</v>
      </c>
      <c r="N7" s="54" t="s">
        <v>35</v>
      </c>
      <c r="O7" s="43" t="s">
        <v>36</v>
      </c>
      <c r="P7" s="54" t="s">
        <v>37</v>
      </c>
      <c r="Q7" s="43" t="s">
        <v>36</v>
      </c>
      <c r="R7" s="54" t="s">
        <v>37</v>
      </c>
      <c r="S7" s="43" t="s">
        <v>36</v>
      </c>
      <c r="T7" s="54" t="s">
        <v>37</v>
      </c>
    </row>
    <row r="8" spans="2:26" x14ac:dyDescent="0.3">
      <c r="B8" s="30">
        <v>5</v>
      </c>
      <c r="C8" s="81" t="str" cm="1">
        <f t="array" ref="C8">INDEX($L$2:$T$2,1,$B8)</f>
        <v>Proposed: 4</v>
      </c>
      <c r="D8" s="114" cm="1">
        <f t="array" aca="1" ref="D8" ca="1">INDEX('T3D Data'!$C$44:$K$44,1,$B8)</f>
        <v>0</v>
      </c>
      <c r="E8" s="116" t="str">
        <f t="shared" ca="1" si="0"/>
        <v>-</v>
      </c>
      <c r="F8" s="117" cm="1">
        <f t="array" aca="1" ref="F8" ca="1">INDEX('T3D Data'!$C$33:$K$33,1,$B8)</f>
        <v>0</v>
      </c>
      <c r="G8" s="37" t="str">
        <f t="shared" ca="1" si="1"/>
        <v>-</v>
      </c>
      <c r="H8" s="36" cm="1">
        <f t="array" ref="H8">INDEX('T3D Data'!$C$53:$K$53,1,$B8)</f>
        <v>0</v>
      </c>
      <c r="I8" s="37" t="str">
        <f t="shared" si="2"/>
        <v>-</v>
      </c>
      <c r="K8" s="74" t="s">
        <v>38</v>
      </c>
      <c r="L8" s="56">
        <v>0.20599999999999999</v>
      </c>
      <c r="M8" s="51">
        <v>1.206</v>
      </c>
      <c r="N8" s="56">
        <v>2.206</v>
      </c>
      <c r="O8" s="51">
        <v>3.206</v>
      </c>
      <c r="P8" s="56">
        <v>4.2060000000000004</v>
      </c>
      <c r="Q8" s="51">
        <v>3.206</v>
      </c>
      <c r="R8" s="56">
        <v>4.2060000000000004</v>
      </c>
      <c r="S8" s="51">
        <v>3.206</v>
      </c>
      <c r="T8" s="56">
        <v>4.2060000000000004</v>
      </c>
    </row>
    <row r="9" spans="2:26" ht="20.149999999999999" customHeight="1" x14ac:dyDescent="0.3">
      <c r="B9" s="30">
        <v>6</v>
      </c>
      <c r="C9" s="81" t="str" cm="1">
        <f t="array" ref="C9">INDEX($L$2:$T$2,1,$B9)</f>
        <v>Proposed: 5</v>
      </c>
      <c r="D9" s="114" cm="1">
        <f t="array" aca="1" ref="D9" ca="1">INDEX('T3D Data'!$C$44:$K$44,1,$B9)</f>
        <v>0</v>
      </c>
      <c r="E9" s="116" t="str">
        <f t="shared" ca="1" si="0"/>
        <v>-</v>
      </c>
      <c r="F9" s="117" cm="1">
        <f t="array" aca="1" ref="F9" ca="1">INDEX('T3D Data'!$C$33:$K$33,1,$B9)</f>
        <v>0</v>
      </c>
      <c r="G9" s="37" t="str">
        <f t="shared" ca="1" si="1"/>
        <v>-</v>
      </c>
      <c r="H9" s="36" cm="1">
        <f t="array" ref="H9">INDEX('T3D Data'!$C$53:$K$53,1,$B9)</f>
        <v>0</v>
      </c>
      <c r="I9" s="37" t="str">
        <f t="shared" si="2"/>
        <v>-</v>
      </c>
      <c r="K9" s="144" t="s">
        <v>39</v>
      </c>
      <c r="L9" s="76"/>
      <c r="M9" s="76"/>
      <c r="N9" s="76"/>
      <c r="O9" s="76"/>
      <c r="P9" s="76"/>
      <c r="Q9" s="76"/>
      <c r="R9" s="76"/>
      <c r="S9" s="76"/>
      <c r="T9" s="76"/>
    </row>
    <row r="10" spans="2:26" ht="14.6" x14ac:dyDescent="0.35">
      <c r="B10" s="30">
        <v>7</v>
      </c>
      <c r="C10" s="81" t="str" cm="1">
        <f t="array" ref="C10">INDEX($L$2:$T$2,1,$B10)</f>
        <v>Proposed: 6</v>
      </c>
      <c r="D10" s="114" cm="1">
        <f t="array" aca="1" ref="D10" ca="1">INDEX('T3D Data'!$C$44:$K$44,1,$B10)</f>
        <v>0</v>
      </c>
      <c r="E10" s="116" t="str">
        <f t="shared" ca="1" si="0"/>
        <v>-</v>
      </c>
      <c r="F10" s="117" cm="1">
        <f t="array" aca="1" ref="F10" ca="1">INDEX('T3D Data'!$C$33:$K$33,1,$B10)</f>
        <v>0</v>
      </c>
      <c r="G10" s="37" t="str">
        <f t="shared" ca="1" si="1"/>
        <v>-</v>
      </c>
      <c r="H10" s="36" cm="1">
        <f t="array" ref="H10">INDEX('T3D Data'!$C$53:$K$53,1,$B10)</f>
        <v>0</v>
      </c>
      <c r="I10" s="37" t="str">
        <f t="shared" si="2"/>
        <v>-</v>
      </c>
      <c r="J10" s="29"/>
      <c r="K10" s="74" t="s">
        <v>40</v>
      </c>
      <c r="L10" s="57">
        <v>1</v>
      </c>
      <c r="M10" s="52">
        <v>1</v>
      </c>
      <c r="N10" s="57">
        <v>1</v>
      </c>
      <c r="O10" s="52">
        <v>1</v>
      </c>
      <c r="P10" s="57">
        <v>1</v>
      </c>
      <c r="Q10" s="52">
        <v>1</v>
      </c>
      <c r="R10" s="57">
        <v>1</v>
      </c>
      <c r="S10" s="52">
        <v>1</v>
      </c>
      <c r="T10" s="57">
        <v>1</v>
      </c>
    </row>
    <row r="11" spans="2:26" ht="14.6" x14ac:dyDescent="0.35">
      <c r="B11" s="30">
        <v>8</v>
      </c>
      <c r="C11" s="81" t="str" cm="1">
        <f t="array" ref="C11">INDEX($L$2:$T$2,1,$B11)</f>
        <v>Proposed: 7</v>
      </c>
      <c r="D11" s="114" cm="1">
        <f t="array" aca="1" ref="D11" ca="1">INDEX('T3D Data'!$C$44:$K$44,1,$B11)</f>
        <v>0</v>
      </c>
      <c r="E11" s="116" t="str">
        <f ca="1">IF(D11=0,"-",1-D11/D$4)</f>
        <v>-</v>
      </c>
      <c r="F11" s="117" cm="1">
        <f t="array" aca="1" ref="F11" ca="1">INDEX('T3D Data'!$C$33:$K$33,1,$B11)</f>
        <v>0</v>
      </c>
      <c r="G11" s="37" t="str">
        <f t="shared" ca="1" si="1"/>
        <v>-</v>
      </c>
      <c r="H11" s="36" cm="1">
        <f t="array" ref="H11">INDEX('T3D Data'!$C$53:$K$53,1,$B11)</f>
        <v>0</v>
      </c>
      <c r="I11" s="37" t="str">
        <f t="shared" si="2"/>
        <v>-</v>
      </c>
      <c r="J11" s="29"/>
      <c r="K11" s="74" t="s">
        <v>41</v>
      </c>
      <c r="L11" s="57">
        <v>1.5</v>
      </c>
      <c r="M11" s="52">
        <v>1.5</v>
      </c>
      <c r="N11" s="57">
        <v>1.5</v>
      </c>
      <c r="O11" s="52">
        <v>1.5</v>
      </c>
      <c r="P11" s="57">
        <v>1.5</v>
      </c>
      <c r="Q11" s="52">
        <v>1.5</v>
      </c>
      <c r="R11" s="57">
        <v>1.5</v>
      </c>
      <c r="S11" s="52">
        <v>1.5</v>
      </c>
      <c r="T11" s="57">
        <v>1.5</v>
      </c>
    </row>
    <row r="12" spans="2:26" ht="20.149999999999999" customHeight="1" x14ac:dyDescent="0.35">
      <c r="B12" s="30">
        <v>9</v>
      </c>
      <c r="C12" s="81" t="str" cm="1">
        <f t="array" ref="C12">INDEX($L$2:$T$2,1,$B12)</f>
        <v>Proposed: 8</v>
      </c>
      <c r="D12" s="114" cm="1">
        <f t="array" aca="1" ref="D12" ca="1">INDEX('T3D Data'!$C$44:$K$44,1,$B12)</f>
        <v>0</v>
      </c>
      <c r="E12" s="116" t="str">
        <f t="shared" ref="E12" ca="1" si="3">IF(D12=0,"-",1-D12/D$4)</f>
        <v>-</v>
      </c>
      <c r="F12" s="117" cm="1">
        <f t="array" aca="1" ref="F12" ca="1">INDEX('T3D Data'!$C$33:$K$33,1,$B12)</f>
        <v>0</v>
      </c>
      <c r="G12" s="37" t="str">
        <f t="shared" ca="1" si="1"/>
        <v>-</v>
      </c>
      <c r="H12" s="36" cm="1">
        <f t="array" ref="H12">INDEX('T3D Data'!$C$53:$K$53,1,$B12)</f>
        <v>0</v>
      </c>
      <c r="I12" s="37" t="str">
        <f t="shared" si="2"/>
        <v>-</v>
      </c>
      <c r="J12" s="29"/>
      <c r="K12" s="144" t="s">
        <v>42</v>
      </c>
      <c r="L12" s="75"/>
      <c r="M12" s="75"/>
      <c r="N12" s="75"/>
      <c r="O12" s="75"/>
      <c r="P12" s="75"/>
      <c r="Q12" s="75"/>
      <c r="R12" s="75"/>
      <c r="S12" s="75"/>
      <c r="T12" s="75"/>
    </row>
    <row r="13" spans="2:26" ht="36" x14ac:dyDescent="0.35">
      <c r="J13" s="29"/>
      <c r="K13" s="74" t="s">
        <v>43</v>
      </c>
      <c r="L13" s="58" t="s">
        <v>44</v>
      </c>
      <c r="M13" s="53" t="s">
        <v>45</v>
      </c>
      <c r="N13" s="58" t="s">
        <v>46</v>
      </c>
      <c r="O13" s="53" t="s">
        <v>47</v>
      </c>
      <c r="P13" s="58" t="s">
        <v>48</v>
      </c>
      <c r="Q13" s="53" t="s">
        <v>47</v>
      </c>
      <c r="R13" s="58" t="s">
        <v>48</v>
      </c>
      <c r="S13" s="53" t="s">
        <v>47</v>
      </c>
      <c r="T13" s="58" t="s">
        <v>48</v>
      </c>
    </row>
    <row r="14" spans="2:26" ht="14.6" x14ac:dyDescent="0.35">
      <c r="C14" s="652" t="s">
        <v>49</v>
      </c>
      <c r="D14" s="652"/>
      <c r="J14" s="29"/>
      <c r="K14" s="74" t="s">
        <v>50</v>
      </c>
      <c r="L14" s="55" t="s">
        <v>51</v>
      </c>
      <c r="M14" s="15" t="s">
        <v>51</v>
      </c>
      <c r="N14" s="55" t="s">
        <v>51</v>
      </c>
      <c r="O14" s="15" t="s">
        <v>51</v>
      </c>
      <c r="P14" s="55" t="s">
        <v>51</v>
      </c>
      <c r="Q14" s="15" t="s">
        <v>51</v>
      </c>
      <c r="R14" s="55" t="s">
        <v>51</v>
      </c>
      <c r="S14" s="15" t="s">
        <v>51</v>
      </c>
      <c r="T14" s="55" t="s">
        <v>51</v>
      </c>
    </row>
    <row r="15" spans="2:26" ht="14.6" x14ac:dyDescent="0.35">
      <c r="C15" s="86" t="s">
        <v>52</v>
      </c>
      <c r="D15" s="12" t="s">
        <v>53</v>
      </c>
      <c r="J15" s="29"/>
      <c r="K15" s="74" t="s">
        <v>54</v>
      </c>
      <c r="L15" s="55" t="s">
        <v>55</v>
      </c>
      <c r="M15" s="15" t="s">
        <v>55</v>
      </c>
      <c r="N15" s="55" t="s">
        <v>55</v>
      </c>
      <c r="O15" s="15" t="s">
        <v>55</v>
      </c>
      <c r="P15" s="55" t="s">
        <v>55</v>
      </c>
      <c r="Q15" s="15" t="s">
        <v>55</v>
      </c>
      <c r="R15" s="55" t="s">
        <v>55</v>
      </c>
      <c r="S15" s="15" t="s">
        <v>55</v>
      </c>
      <c r="T15" s="55" t="s">
        <v>55</v>
      </c>
    </row>
    <row r="16" spans="2:26" ht="14.6" x14ac:dyDescent="0.35">
      <c r="C16" s="86" t="s">
        <v>56</v>
      </c>
      <c r="D16" s="43" t="s">
        <v>57</v>
      </c>
      <c r="H16" s="30"/>
      <c r="J16" s="29"/>
      <c r="K16" s="142" t="s">
        <v>58</v>
      </c>
      <c r="L16" s="55" t="s">
        <v>59</v>
      </c>
      <c r="M16" s="15" t="s">
        <v>59</v>
      </c>
      <c r="N16" s="55" t="s">
        <v>59</v>
      </c>
      <c r="O16" s="15" t="s">
        <v>59</v>
      </c>
      <c r="P16" s="55" t="s">
        <v>59</v>
      </c>
      <c r="Q16" s="15" t="s">
        <v>59</v>
      </c>
      <c r="R16" s="55" t="s">
        <v>59</v>
      </c>
      <c r="S16" s="15" t="s">
        <v>59</v>
      </c>
      <c r="T16" s="55" t="s">
        <v>59</v>
      </c>
    </row>
    <row r="17" spans="3:26" ht="15" x14ac:dyDescent="0.35">
      <c r="C17" s="86" t="s">
        <v>60</v>
      </c>
      <c r="D17" s="13">
        <v>8303</v>
      </c>
      <c r="H17" s="33"/>
      <c r="J17" s="29"/>
      <c r="K17" s="144" t="s">
        <v>61</v>
      </c>
      <c r="L17" s="75"/>
      <c r="M17" s="75"/>
      <c r="N17" s="75"/>
      <c r="O17" s="75"/>
      <c r="P17" s="75"/>
      <c r="Q17" s="75"/>
      <c r="R17" s="75"/>
      <c r="S17" s="75"/>
      <c r="T17" s="75"/>
    </row>
    <row r="18" spans="3:26" ht="36" x14ac:dyDescent="0.35">
      <c r="C18" s="86" t="s">
        <v>62</v>
      </c>
      <c r="D18" s="43" t="s">
        <v>63</v>
      </c>
      <c r="J18" s="29"/>
      <c r="K18" s="143" t="s">
        <v>64</v>
      </c>
      <c r="L18" s="58" t="s">
        <v>65</v>
      </c>
      <c r="M18" s="15"/>
      <c r="N18" s="55"/>
      <c r="O18" s="15"/>
      <c r="P18" s="55"/>
      <c r="Q18" s="15"/>
      <c r="R18" s="55"/>
      <c r="S18" s="15"/>
      <c r="T18" s="55"/>
    </row>
    <row r="19" spans="3:26" ht="14.6" x14ac:dyDescent="0.35">
      <c r="C19" s="652" t="s">
        <v>66</v>
      </c>
      <c r="D19" s="652"/>
      <c r="J19" s="29"/>
      <c r="K19"/>
      <c r="L19"/>
      <c r="M19"/>
      <c r="N19"/>
      <c r="O19"/>
      <c r="P19"/>
      <c r="Q19"/>
      <c r="R19"/>
      <c r="S19"/>
      <c r="T19"/>
    </row>
    <row r="20" spans="3:26" ht="16.5" customHeight="1" x14ac:dyDescent="0.35">
      <c r="C20" s="86" t="s">
        <v>67</v>
      </c>
      <c r="D20" s="86" t="s">
        <v>68</v>
      </c>
      <c r="J20" s="29"/>
      <c r="K20" t="s">
        <v>69</v>
      </c>
      <c r="L20"/>
      <c r="M20"/>
      <c r="N20"/>
      <c r="O20"/>
      <c r="P20"/>
      <c r="Q20"/>
      <c r="R20"/>
      <c r="S20"/>
      <c r="T20"/>
    </row>
    <row r="21" spans="3:26" ht="16.5" customHeight="1" x14ac:dyDescent="0.35">
      <c r="C21" s="86" t="s">
        <v>70</v>
      </c>
      <c r="D21" s="86" t="s">
        <v>71</v>
      </c>
      <c r="J21" s="29"/>
      <c r="K21" s="74" t="s">
        <v>72</v>
      </c>
      <c r="L21" s="55"/>
      <c r="M21" s="15"/>
      <c r="N21" s="55"/>
      <c r="O21" s="15"/>
      <c r="P21"/>
      <c r="Q21"/>
      <c r="R21"/>
      <c r="S21"/>
      <c r="T21"/>
    </row>
    <row r="22" spans="3:26" ht="16.5" customHeight="1" x14ac:dyDescent="0.3">
      <c r="K22" s="74" t="s">
        <v>73</v>
      </c>
      <c r="L22" s="55"/>
      <c r="M22" s="15"/>
      <c r="N22" s="55"/>
      <c r="O22" s="15"/>
      <c r="P22"/>
      <c r="Q22"/>
      <c r="R22"/>
      <c r="S22"/>
      <c r="T22"/>
    </row>
    <row r="23" spans="3:26" ht="16.5" customHeight="1" x14ac:dyDescent="0.3">
      <c r="C23" s="91" t="s">
        <v>74</v>
      </c>
      <c r="K23" s="142" t="s">
        <v>75</v>
      </c>
      <c r="L23" s="55"/>
      <c r="M23" s="15"/>
      <c r="N23" s="55"/>
      <c r="O23" s="15"/>
      <c r="P23"/>
      <c r="Q23"/>
      <c r="R23"/>
      <c r="S23"/>
      <c r="T23"/>
    </row>
    <row r="24" spans="3:26" ht="12.45" x14ac:dyDescent="0.3">
      <c r="C24" s="31" t="s">
        <v>76</v>
      </c>
      <c r="D24" s="98">
        <f>F24/3.415</f>
        <v>2.4597364568081991E-2</v>
      </c>
      <c r="E24" s="32" t="s">
        <v>77</v>
      </c>
      <c r="F24" s="87">
        <v>8.4000000000000005E-2</v>
      </c>
      <c r="G24" s="32" t="s">
        <v>78</v>
      </c>
      <c r="K24"/>
      <c r="L24"/>
      <c r="M24"/>
      <c r="N24"/>
      <c r="O24"/>
      <c r="P24"/>
      <c r="Q24"/>
      <c r="R24"/>
      <c r="S24"/>
      <c r="T24"/>
    </row>
    <row r="25" spans="3:26" ht="12.45" x14ac:dyDescent="0.3">
      <c r="C25" s="31" t="s">
        <v>79</v>
      </c>
      <c r="D25" s="98">
        <f>F25/100</f>
        <v>7.5700000000000003E-3</v>
      </c>
      <c r="E25" s="32" t="s">
        <v>77</v>
      </c>
      <c r="F25" s="87">
        <v>0.75700000000000001</v>
      </c>
      <c r="G25" s="32" t="s">
        <v>80</v>
      </c>
      <c r="K25"/>
      <c r="L25"/>
      <c r="M25"/>
      <c r="N25"/>
      <c r="O25"/>
      <c r="P25"/>
      <c r="Q25"/>
      <c r="R25"/>
      <c r="S25"/>
      <c r="T25"/>
    </row>
    <row r="26" spans="3:26" x14ac:dyDescent="0.3">
      <c r="C26" s="31" t="s">
        <v>81</v>
      </c>
      <c r="D26" s="98">
        <f>F26/100</f>
        <v>1.2290000000000001E-2</v>
      </c>
      <c r="E26" s="32" t="s">
        <v>77</v>
      </c>
      <c r="F26" s="87">
        <v>1.2290000000000001</v>
      </c>
      <c r="G26" s="32" t="s">
        <v>80</v>
      </c>
    </row>
    <row r="27" spans="3:26" x14ac:dyDescent="0.3">
      <c r="C27" s="31" t="s">
        <v>82</v>
      </c>
      <c r="D27" s="98">
        <f>F27/100</f>
        <v>5.9640000000000006E-3</v>
      </c>
      <c r="E27" s="32" t="s">
        <v>77</v>
      </c>
      <c r="F27" s="87">
        <v>0.59640000000000004</v>
      </c>
      <c r="G27" s="32" t="s">
        <v>80</v>
      </c>
    </row>
    <row r="28" spans="3:26" x14ac:dyDescent="0.3">
      <c r="C28" s="31" t="s">
        <v>83</v>
      </c>
      <c r="D28" s="98">
        <f>F28/100</f>
        <v>1.3953E-2</v>
      </c>
      <c r="E28" s="32" t="s">
        <v>77</v>
      </c>
      <c r="F28" s="87">
        <v>1.3953</v>
      </c>
      <c r="G28" s="32" t="s">
        <v>80</v>
      </c>
    </row>
    <row r="30" spans="3:26" ht="12.45" x14ac:dyDescent="0.3">
      <c r="C30" s="91" t="s">
        <v>84</v>
      </c>
      <c r="D30" s="44" t="s">
        <v>85</v>
      </c>
      <c r="E30" s="44" t="s">
        <v>86</v>
      </c>
    </row>
    <row r="31" spans="3:26" x14ac:dyDescent="0.3">
      <c r="C31" s="31" t="s">
        <v>76</v>
      </c>
      <c r="D31" s="88">
        <v>1179</v>
      </c>
      <c r="E31" s="89">
        <f>D31/2204/1000/3.415</f>
        <v>1.5664318568926988E-4</v>
      </c>
    </row>
    <row r="32" spans="3:26" x14ac:dyDescent="0.3">
      <c r="C32" s="31" t="s">
        <v>79</v>
      </c>
      <c r="D32" s="15" t="s">
        <v>21</v>
      </c>
      <c r="E32" s="89">
        <v>5.3000000000000001E-5</v>
      </c>
      <c r="K32" s="28" t="s">
        <v>87</v>
      </c>
      <c r="L32" s="28" t="s">
        <v>87</v>
      </c>
      <c r="M32" s="28" t="s">
        <v>87</v>
      </c>
      <c r="N32" s="28" t="s">
        <v>87</v>
      </c>
      <c r="O32" s="28" t="s">
        <v>87</v>
      </c>
      <c r="P32" s="28" t="s">
        <v>87</v>
      </c>
      <c r="T32" s="28" t="s">
        <v>87</v>
      </c>
      <c r="U32" s="28" t="s">
        <v>87</v>
      </c>
      <c r="V32" s="28" t="s">
        <v>87</v>
      </c>
      <c r="W32" s="28" t="s">
        <v>87</v>
      </c>
      <c r="X32" s="28" t="s">
        <v>87</v>
      </c>
      <c r="Y32" s="28" t="s">
        <v>87</v>
      </c>
      <c r="Z32" s="28" t="s">
        <v>87</v>
      </c>
    </row>
    <row r="33" spans="3:20" x14ac:dyDescent="0.3">
      <c r="C33" s="31" t="s">
        <v>81</v>
      </c>
      <c r="D33" s="15" t="s">
        <v>21</v>
      </c>
      <c r="E33" s="89"/>
    </row>
    <row r="34" spans="3:20" ht="12.45" x14ac:dyDescent="0.3">
      <c r="C34" s="31" t="s">
        <v>82</v>
      </c>
      <c r="D34" s="90" t="s">
        <v>21</v>
      </c>
      <c r="E34" s="89">
        <v>1.5699999999999999E-4</v>
      </c>
    </row>
    <row r="35" spans="3:20" x14ac:dyDescent="0.3">
      <c r="C35" s="31" t="s">
        <v>83</v>
      </c>
      <c r="D35" s="15" t="s">
        <v>21</v>
      </c>
      <c r="E35" s="89"/>
    </row>
    <row r="41" spans="3:20" ht="12.45" x14ac:dyDescent="0.3">
      <c r="F41"/>
      <c r="G41"/>
    </row>
    <row r="42" spans="3:20" ht="12.45" x14ac:dyDescent="0.3">
      <c r="F42"/>
      <c r="G42"/>
    </row>
    <row r="45" spans="3:20" x14ac:dyDescent="0.3">
      <c r="M45" s="73"/>
      <c r="N45" s="73"/>
      <c r="O45" s="73"/>
      <c r="P45" s="73"/>
      <c r="Q45" s="73"/>
      <c r="R45" s="73"/>
      <c r="S45" s="73"/>
      <c r="T45" s="73"/>
    </row>
  </sheetData>
  <mergeCells count="6">
    <mergeCell ref="C19:D19"/>
    <mergeCell ref="C2:C3"/>
    <mergeCell ref="D2:E2"/>
    <mergeCell ref="F2:G2"/>
    <mergeCell ref="H2:I2"/>
    <mergeCell ref="C14:D14"/>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3CD84-14C2-47AF-B2FC-F095D1080E4C}">
  <sheetPr>
    <tabColor theme="7" tint="0.59999389629810485"/>
  </sheetPr>
  <dimension ref="A1:BB111"/>
  <sheetViews>
    <sheetView zoomScale="50" zoomScaleNormal="50" workbookViewId="0">
      <selection activeCell="AV5" sqref="AV5"/>
    </sheetView>
  </sheetViews>
  <sheetFormatPr defaultRowHeight="12.45" x14ac:dyDescent="0.3"/>
  <cols>
    <col min="1" max="1" width="26.3046875" bestFit="1" customWidth="1"/>
    <col min="2" max="3" width="13.53515625" hidden="1" customWidth="1"/>
    <col min="4" max="4" width="13.69140625" hidden="1" customWidth="1"/>
    <col min="5" max="5" width="13.53515625" hidden="1" customWidth="1"/>
    <col min="6" max="6" width="10.69140625" hidden="1" customWidth="1"/>
    <col min="7" max="7" width="11" hidden="1" customWidth="1"/>
    <col min="8" max="8" width="0" hidden="1" customWidth="1"/>
    <col min="9" max="9" width="18.53515625" bestFit="1" customWidth="1"/>
    <col min="10" max="10" width="20.84375" bestFit="1" customWidth="1"/>
    <col min="11" max="12" width="19.69140625" customWidth="1"/>
    <col min="13" max="13" width="6.69140625" customWidth="1"/>
    <col min="14" max="14" width="19.84375" customWidth="1"/>
    <col min="15" max="15" width="25.53515625" customWidth="1"/>
    <col min="16" max="17" width="12.3828125" customWidth="1"/>
    <col min="18" max="18" width="12.3046875" bestFit="1" customWidth="1"/>
    <col min="19" max="19" width="10.15234375" bestFit="1" customWidth="1"/>
    <col min="20" max="20" width="16.3828125" bestFit="1" customWidth="1"/>
    <col min="21" max="21" width="21" bestFit="1" customWidth="1"/>
    <col min="25" max="25" width="10.15234375" bestFit="1" customWidth="1"/>
    <col min="27" max="27" width="9.3046875" style="265" bestFit="1" customWidth="1"/>
    <col min="28" max="28" width="21.53515625" bestFit="1" customWidth="1"/>
    <col min="29" max="29" width="25.69140625" bestFit="1" customWidth="1"/>
    <col min="30" max="30" width="13.3046875" bestFit="1" customWidth="1"/>
    <col min="31" max="31" width="12.3046875" bestFit="1" customWidth="1"/>
    <col min="32" max="32" width="13.3046875" bestFit="1" customWidth="1"/>
    <col min="35" max="35" width="9.53515625" bestFit="1" customWidth="1"/>
    <col min="36" max="36" width="16.69140625" bestFit="1" customWidth="1"/>
    <col min="39" max="39" width="10.15234375" bestFit="1" customWidth="1"/>
    <col min="45" max="45" width="38.84375" bestFit="1" customWidth="1"/>
    <col min="46" max="46" width="9.53515625" bestFit="1" customWidth="1"/>
    <col min="48" max="48" width="11.3046875" bestFit="1" customWidth="1"/>
  </cols>
  <sheetData>
    <row r="1" spans="1:51" ht="19.75" x14ac:dyDescent="0.3">
      <c r="A1" s="246" t="s">
        <v>300</v>
      </c>
      <c r="N1" s="228"/>
      <c r="P1" s="228"/>
      <c r="Q1" s="228"/>
      <c r="R1" s="228"/>
      <c r="S1" s="228"/>
      <c r="T1" s="228"/>
      <c r="U1" s="228"/>
      <c r="V1" s="228"/>
      <c r="W1" s="228"/>
      <c r="X1" s="228"/>
      <c r="Y1" s="247"/>
      <c r="Z1" s="228"/>
      <c r="AA1" s="266" t="s">
        <v>301</v>
      </c>
      <c r="AB1" s="228"/>
      <c r="AD1" s="228"/>
      <c r="AE1" s="228"/>
      <c r="AF1" s="228"/>
      <c r="AG1" s="228"/>
      <c r="AH1" s="228"/>
      <c r="AI1" s="228"/>
      <c r="AJ1" s="228"/>
      <c r="AK1" s="228"/>
      <c r="AL1" s="228"/>
      <c r="AM1" s="247">
        <v>45434</v>
      </c>
    </row>
    <row r="2" spans="1:51" x14ac:dyDescent="0.3">
      <c r="A2" s="239" t="s">
        <v>302</v>
      </c>
      <c r="N2" s="228"/>
      <c r="P2" s="228"/>
      <c r="Q2" s="228"/>
      <c r="R2" s="228"/>
      <c r="S2" s="228"/>
      <c r="T2" s="228"/>
      <c r="U2" s="228"/>
      <c r="V2" s="228"/>
      <c r="W2" s="228"/>
      <c r="X2" s="228"/>
      <c r="Y2" s="228"/>
      <c r="Z2" s="228"/>
      <c r="AA2" s="267"/>
      <c r="AB2" s="228"/>
      <c r="AD2" s="228"/>
      <c r="AE2" s="228"/>
      <c r="AF2" s="228"/>
      <c r="AG2" s="228"/>
      <c r="AH2" s="228"/>
      <c r="AI2" s="228"/>
      <c r="AJ2" s="228"/>
      <c r="AK2" s="228"/>
      <c r="AL2" s="228"/>
      <c r="AM2" s="228"/>
    </row>
    <row r="3" spans="1:51" x14ac:dyDescent="0.3">
      <c r="N3" s="239"/>
      <c r="O3" s="228"/>
      <c r="P3" s="228"/>
      <c r="Q3" s="228"/>
      <c r="R3" s="228"/>
      <c r="S3" s="228"/>
      <c r="T3" s="228"/>
      <c r="U3" s="228"/>
      <c r="V3" s="228"/>
      <c r="W3" s="228"/>
      <c r="X3" s="228"/>
      <c r="Y3" s="228"/>
      <c r="Z3" s="228"/>
      <c r="AB3" s="239"/>
      <c r="AC3" s="228"/>
      <c r="AD3" s="228"/>
      <c r="AE3" s="228"/>
      <c r="AF3" s="228"/>
      <c r="AG3" s="228"/>
      <c r="AH3" s="228"/>
      <c r="AI3" s="228"/>
      <c r="AJ3" s="228"/>
      <c r="AK3" s="228"/>
      <c r="AL3" s="228"/>
      <c r="AM3" s="228"/>
      <c r="AR3" s="50"/>
      <c r="AS3" s="667" t="s">
        <v>0</v>
      </c>
      <c r="AT3" s="654" t="s">
        <v>1</v>
      </c>
      <c r="AU3" s="655"/>
      <c r="AV3" s="654" t="s">
        <v>303</v>
      </c>
      <c r="AW3" s="655"/>
      <c r="AX3" s="654" t="s">
        <v>3</v>
      </c>
      <c r="AY3" s="655"/>
    </row>
    <row r="4" spans="1:51" ht="24.9" x14ac:dyDescent="0.3">
      <c r="A4" s="258"/>
      <c r="B4" s="258"/>
      <c r="C4" s="258"/>
      <c r="D4" s="258"/>
      <c r="E4" s="258"/>
      <c r="F4" s="258"/>
      <c r="G4" s="258"/>
      <c r="H4" s="258"/>
      <c r="I4" s="258"/>
      <c r="J4" s="258"/>
      <c r="K4" s="258"/>
      <c r="L4" s="258"/>
      <c r="M4" s="253" t="s">
        <v>304</v>
      </c>
      <c r="N4" s="238"/>
      <c r="O4" s="238"/>
      <c r="P4" s="238"/>
      <c r="Q4" s="238"/>
      <c r="R4" s="238"/>
      <c r="S4" s="238"/>
      <c r="T4" s="238"/>
      <c r="U4" s="238"/>
      <c r="V4" s="238"/>
      <c r="W4" s="238"/>
      <c r="X4" s="238"/>
      <c r="Y4" s="238"/>
      <c r="Z4" s="238"/>
      <c r="AA4" s="268" t="s">
        <v>304</v>
      </c>
      <c r="AB4" s="238"/>
      <c r="AC4" s="238"/>
      <c r="AD4" s="238"/>
      <c r="AE4" s="238"/>
      <c r="AF4" s="238"/>
      <c r="AG4" s="238"/>
      <c r="AH4" s="238"/>
      <c r="AI4" s="238"/>
      <c r="AJ4" s="238"/>
      <c r="AK4" s="238"/>
      <c r="AL4" s="238"/>
      <c r="AM4" s="238"/>
      <c r="AR4" s="30"/>
      <c r="AS4" s="668"/>
      <c r="AT4" s="34" t="s">
        <v>16</v>
      </c>
      <c r="AU4" s="34" t="s">
        <v>17</v>
      </c>
      <c r="AV4" s="34" t="s">
        <v>570</v>
      </c>
      <c r="AW4" s="34" t="s">
        <v>17</v>
      </c>
      <c r="AX4" s="34" t="s">
        <v>19</v>
      </c>
      <c r="AY4" s="34" t="s">
        <v>17</v>
      </c>
    </row>
    <row r="5" spans="1:51" x14ac:dyDescent="0.3">
      <c r="N5" s="228"/>
      <c r="O5" s="228"/>
      <c r="P5" s="228"/>
      <c r="Q5" s="228"/>
      <c r="R5" s="228"/>
      <c r="S5" s="228"/>
      <c r="T5" s="228"/>
      <c r="U5" s="228"/>
      <c r="V5" s="228"/>
      <c r="W5" s="228"/>
      <c r="X5" s="228"/>
      <c r="Y5" s="228"/>
      <c r="Z5" s="228"/>
      <c r="AB5" s="228"/>
      <c r="AC5" s="228"/>
      <c r="AD5" s="228"/>
      <c r="AE5" s="228"/>
      <c r="AF5" s="228"/>
      <c r="AG5" s="228"/>
      <c r="AH5" s="228"/>
      <c r="AI5" s="228"/>
      <c r="AJ5" s="228"/>
      <c r="AK5" s="228"/>
      <c r="AL5" s="228"/>
      <c r="AM5" s="228"/>
      <c r="AS5" s="81" t="s">
        <v>305</v>
      </c>
      <c r="AT5" s="110">
        <v>477465.06980299368</v>
      </c>
      <c r="AU5" s="125" t="s">
        <v>21</v>
      </c>
      <c r="AV5" s="36">
        <f>K20/1000/'Neighborhood Inputs'!D28</f>
        <v>110.71044670947711</v>
      </c>
      <c r="AW5" s="125" t="s">
        <v>21</v>
      </c>
      <c r="AX5" s="36">
        <v>2083.251701551852</v>
      </c>
      <c r="AY5" s="125" t="s">
        <v>21</v>
      </c>
    </row>
    <row r="6" spans="1:51" x14ac:dyDescent="0.3">
      <c r="A6" s="181" t="s">
        <v>306</v>
      </c>
      <c r="I6" s="172" t="s">
        <v>307</v>
      </c>
      <c r="N6" s="669" t="s">
        <v>308</v>
      </c>
      <c r="O6" s="670"/>
      <c r="P6" s="670"/>
      <c r="Q6" s="671"/>
      <c r="R6" s="239"/>
      <c r="S6" s="239"/>
      <c r="T6" s="672" t="s">
        <v>309</v>
      </c>
      <c r="U6" s="672"/>
      <c r="V6" s="672"/>
      <c r="W6" s="239"/>
      <c r="X6" s="228"/>
      <c r="Y6" s="228"/>
      <c r="Z6" s="228"/>
      <c r="AB6" s="669" t="s">
        <v>308</v>
      </c>
      <c r="AC6" s="670"/>
      <c r="AD6" s="670"/>
      <c r="AE6" s="671"/>
      <c r="AF6" s="239"/>
      <c r="AG6" s="239"/>
      <c r="AH6" s="672" t="s">
        <v>310</v>
      </c>
      <c r="AI6" s="672"/>
      <c r="AJ6" s="672"/>
      <c r="AK6" s="239"/>
      <c r="AL6" s="228"/>
      <c r="AM6" s="228"/>
      <c r="AS6" s="81" t="s">
        <v>311</v>
      </c>
      <c r="AT6" s="110">
        <f>R36</f>
        <v>464222.72266976198</v>
      </c>
      <c r="AU6" s="125">
        <f>1-AT6/AT5</f>
        <v>2.7734693008423905E-2</v>
      </c>
      <c r="AV6" s="36">
        <f>K36/1000/'Neighborhood Inputs'!D28</f>
        <v>46.430630388022358</v>
      </c>
      <c r="AW6" s="125">
        <f>1-AV6/AV5</f>
        <v>0.5806120220085087</v>
      </c>
      <c r="AX6" s="36">
        <f>AF36</f>
        <v>1607.1400169896392</v>
      </c>
      <c r="AY6" s="125">
        <f>1-AX6/AX5</f>
        <v>0.22854256363143666</v>
      </c>
    </row>
    <row r="7" spans="1:51" x14ac:dyDescent="0.3">
      <c r="D7" s="234" t="s">
        <v>312</v>
      </c>
      <c r="E7" s="234" t="s">
        <v>313</v>
      </c>
      <c r="I7" s="234" t="s">
        <v>314</v>
      </c>
      <c r="J7" s="234" t="s">
        <v>315</v>
      </c>
      <c r="K7" s="236" t="s">
        <v>316</v>
      </c>
      <c r="L7" s="236"/>
      <c r="M7" s="251" t="s">
        <v>317</v>
      </c>
      <c r="N7" s="251" t="s">
        <v>318</v>
      </c>
      <c r="O7" s="251" t="s">
        <v>319</v>
      </c>
      <c r="P7" s="252" t="s">
        <v>320</v>
      </c>
      <c r="Q7" s="252" t="s">
        <v>321</v>
      </c>
      <c r="R7" s="239"/>
      <c r="S7" s="239"/>
      <c r="T7" s="240" t="str" cm="1">
        <f t="array" ref="T7:T8">'Homes - Inputs'!C35:C36</f>
        <v>Electric</v>
      </c>
      <c r="U7" s="263" cm="1">
        <f t="array" ref="U7:U8">'Homes - Inputs'!F35:F36</f>
        <v>0.19639999999999999</v>
      </c>
      <c r="V7" s="240" t="str" cm="1">
        <f t="array" ref="V7:V8">'Homes - Inputs'!G35:G36</f>
        <v>/kWh</v>
      </c>
      <c r="W7" s="239"/>
      <c r="X7" s="228"/>
      <c r="Y7" s="228"/>
      <c r="Z7" s="228"/>
      <c r="AA7" s="251" t="s">
        <v>317</v>
      </c>
      <c r="AB7" s="251" t="s">
        <v>318</v>
      </c>
      <c r="AC7" s="251" t="s">
        <v>319</v>
      </c>
      <c r="AD7" s="252" t="s">
        <v>322</v>
      </c>
      <c r="AE7" s="252" t="s">
        <v>323</v>
      </c>
      <c r="AF7" s="239"/>
      <c r="AG7" s="239"/>
      <c r="AH7" s="240" t="s">
        <v>76</v>
      </c>
      <c r="AI7" s="270">
        <f>'Homes - Inputs'!E42</f>
        <v>1.9110468654090927E-4</v>
      </c>
      <c r="AJ7" s="240" t="str">
        <f>'Homes - Inputs'!E41</f>
        <v>tons of CO2/kBtu</v>
      </c>
      <c r="AK7" s="239" t="s">
        <v>324</v>
      </c>
      <c r="AL7" s="228"/>
      <c r="AM7" s="228"/>
      <c r="AS7" s="81" t="s">
        <v>325</v>
      </c>
      <c r="AT7" s="110">
        <f>R52</f>
        <v>134270.72266976204</v>
      </c>
      <c r="AU7" s="125">
        <f>1-AT7/AT5</f>
        <v>0.71878419771070723</v>
      </c>
      <c r="AV7" s="36">
        <f>K52/1000/'Neighborhood Inputs'!D28</f>
        <v>20.309631290429373</v>
      </c>
      <c r="AW7" s="125">
        <f>1-AV7/AV5</f>
        <v>0.81655180794523141</v>
      </c>
      <c r="AX7" s="36">
        <f>AF59</f>
        <v>511.47392788674904</v>
      </c>
      <c r="AY7" s="125">
        <f>1-AX7/AX5</f>
        <v>0.75448289445497974</v>
      </c>
    </row>
    <row r="8" spans="1:51" x14ac:dyDescent="0.3">
      <c r="A8" s="248">
        <v>44592</v>
      </c>
      <c r="D8" s="235">
        <v>1446281.38</v>
      </c>
      <c r="E8" s="235">
        <v>13922517.779999999</v>
      </c>
      <c r="I8" s="236">
        <v>404188350.60000002</v>
      </c>
      <c r="J8" s="236">
        <v>3714273183</v>
      </c>
      <c r="K8" s="233">
        <f>I8+J8</f>
        <v>4118461533.5999999</v>
      </c>
      <c r="L8" s="233"/>
      <c r="M8" s="250">
        <v>44592</v>
      </c>
      <c r="N8" s="254">
        <f t="shared" ref="N8:N19" si="0">I8/1000/3.412</f>
        <v>118460.8296014068</v>
      </c>
      <c r="O8" s="254">
        <f t="shared" ref="O8:O19" si="1">J8/1000/100</f>
        <v>37142.731830000004</v>
      </c>
      <c r="P8" s="241">
        <f>N8*'Homes - Inputs'!$F$35</f>
        <v>23265.706933716294</v>
      </c>
      <c r="Q8" s="241">
        <f>O8*'Homes - Inputs'!$F$36</f>
        <v>29342.042486127171</v>
      </c>
      <c r="R8" s="239"/>
      <c r="S8" s="239"/>
      <c r="T8" s="240" t="str">
        <v>Gas</v>
      </c>
      <c r="U8" s="264">
        <v>0.78998073217726394</v>
      </c>
      <c r="V8" s="240" t="str">
        <v>/therms</v>
      </c>
      <c r="W8" s="239"/>
      <c r="X8" s="228"/>
      <c r="Y8" s="228"/>
      <c r="Z8" s="228"/>
      <c r="AA8" s="250">
        <v>44592</v>
      </c>
      <c r="AB8" s="254">
        <f>N8</f>
        <v>118460.8296014068</v>
      </c>
      <c r="AC8" s="254">
        <f>O8</f>
        <v>37142.731830000004</v>
      </c>
      <c r="AD8" s="271">
        <f t="shared" ref="AD8:AD19" si="2">I8*$AI$7/1000</f>
        <v>77.242288044900135</v>
      </c>
      <c r="AE8" s="271">
        <f t="shared" ref="AE8:AE19" si="3">J8*$AI$8/1000</f>
        <v>196.85647869900001</v>
      </c>
      <c r="AF8" s="239"/>
      <c r="AG8" s="239"/>
      <c r="AH8" s="240" t="s">
        <v>79</v>
      </c>
      <c r="AI8" s="270">
        <f>'Homes - Inputs'!E43</f>
        <v>5.3000000000000001E-5</v>
      </c>
      <c r="AJ8" s="240" t="str">
        <f>AJ7</f>
        <v>tons of CO2/kBtu</v>
      </c>
      <c r="AK8" s="239"/>
      <c r="AL8" s="228"/>
      <c r="AM8" s="228"/>
      <c r="AS8" s="81" t="s">
        <v>326</v>
      </c>
      <c r="AT8" s="110">
        <f>R68</f>
        <v>155070.43379455741</v>
      </c>
      <c r="AU8" s="125">
        <f>1-AT8/AT5</f>
        <v>0.67522140654490004</v>
      </c>
      <c r="AV8" s="36">
        <f>AV7</f>
        <v>20.309631290429373</v>
      </c>
      <c r="AW8" s="125">
        <f>1-AV8/AV5</f>
        <v>0.81655180794523141</v>
      </c>
      <c r="AX8" s="36">
        <f>AX7</f>
        <v>511.47392788674904</v>
      </c>
      <c r="AY8" s="125">
        <f>1-AX8/AX5</f>
        <v>0.75448289445497974</v>
      </c>
    </row>
    <row r="9" spans="1:51" x14ac:dyDescent="0.3">
      <c r="A9" s="248">
        <v>44620</v>
      </c>
      <c r="D9" s="235">
        <v>1305791.905</v>
      </c>
      <c r="E9" s="235">
        <v>10503076.289999999</v>
      </c>
      <c r="I9" s="236">
        <v>365173691.80000001</v>
      </c>
      <c r="J9" s="236">
        <v>3247071924</v>
      </c>
      <c r="K9" s="233">
        <f t="shared" ref="K9:K19" si="4">I9+J9</f>
        <v>3612245615.8000002</v>
      </c>
      <c r="L9" s="233"/>
      <c r="M9" s="250">
        <v>44620</v>
      </c>
      <c r="N9" s="254">
        <f t="shared" si="0"/>
        <v>107026.28716295429</v>
      </c>
      <c r="O9" s="254">
        <f t="shared" si="1"/>
        <v>32470.719240000002</v>
      </c>
      <c r="P9" s="241">
        <f>N9*'Homes - Inputs'!$F$35</f>
        <v>21019.962798804223</v>
      </c>
      <c r="Q9" s="241">
        <f>O9*'Homes - Inputs'!$F$36</f>
        <v>25651.242559537572</v>
      </c>
      <c r="R9" s="239"/>
      <c r="S9" s="239"/>
      <c r="T9" s="240" t="s">
        <v>327</v>
      </c>
      <c r="U9" s="600">
        <f>'Homes - Inputs'!H35</f>
        <v>8.77E-2</v>
      </c>
      <c r="V9" s="240" t="str">
        <f>'Homes - Inputs'!I35</f>
        <v>/kWh</v>
      </c>
      <c r="W9" s="239"/>
      <c r="X9" s="228"/>
      <c r="Y9" s="228"/>
      <c r="Z9" s="228"/>
      <c r="AA9" s="250">
        <v>44620</v>
      </c>
      <c r="AB9" s="254">
        <f t="shared" ref="AB9:AB19" si="5">N9</f>
        <v>107026.28716295429</v>
      </c>
      <c r="AC9" s="254">
        <f t="shared" ref="AC9:AC19" si="6">O9</f>
        <v>32470.719240000002</v>
      </c>
      <c r="AD9" s="271">
        <f t="shared" si="2"/>
        <v>69.786403904425612</v>
      </c>
      <c r="AE9" s="271">
        <f t="shared" si="3"/>
        <v>172.094811972</v>
      </c>
      <c r="AF9" s="239"/>
      <c r="AG9" s="239"/>
      <c r="AH9" s="239"/>
      <c r="AI9" s="277"/>
      <c r="AJ9" s="239"/>
      <c r="AK9" s="239"/>
      <c r="AL9" s="228"/>
      <c r="AM9" s="228"/>
    </row>
    <row r="10" spans="1:51" x14ac:dyDescent="0.3">
      <c r="A10" s="248">
        <v>44651</v>
      </c>
      <c r="D10" s="235">
        <v>1415192.629</v>
      </c>
      <c r="E10" s="235">
        <v>8032834.1229999997</v>
      </c>
      <c r="I10" s="236">
        <v>384646870.30000001</v>
      </c>
      <c r="J10" s="236">
        <v>1817127845</v>
      </c>
      <c r="K10" s="233">
        <f t="shared" si="4"/>
        <v>2201774715.3000002</v>
      </c>
      <c r="L10" s="233"/>
      <c r="M10" s="250">
        <v>44651</v>
      </c>
      <c r="N10" s="254">
        <f t="shared" si="0"/>
        <v>112733.54932590856</v>
      </c>
      <c r="O10" s="254">
        <f t="shared" si="1"/>
        <v>18171.278449999998</v>
      </c>
      <c r="P10" s="241">
        <f>N10*'Homes - Inputs'!$F$35</f>
        <v>22140.86908760844</v>
      </c>
      <c r="Q10" s="241">
        <f>O10*'Homes - Inputs'!$F$36</f>
        <v>14354.959854527937</v>
      </c>
      <c r="R10" s="239"/>
      <c r="S10" s="239"/>
      <c r="T10" s="239"/>
      <c r="U10" s="239"/>
      <c r="V10" s="239"/>
      <c r="W10" s="239"/>
      <c r="X10" s="228"/>
      <c r="Y10" s="228"/>
      <c r="Z10" s="228"/>
      <c r="AA10" s="250">
        <v>44651</v>
      </c>
      <c r="AB10" s="254">
        <f t="shared" si="5"/>
        <v>112733.54932590856</v>
      </c>
      <c r="AC10" s="254">
        <f t="shared" si="6"/>
        <v>18171.278449999998</v>
      </c>
      <c r="AD10" s="271">
        <f t="shared" si="2"/>
        <v>73.507819577623295</v>
      </c>
      <c r="AE10" s="271">
        <f t="shared" si="3"/>
        <v>96.307775785000004</v>
      </c>
      <c r="AF10" s="239"/>
      <c r="AG10" s="239"/>
      <c r="AH10" s="239"/>
      <c r="AI10" s="239"/>
      <c r="AJ10" s="239"/>
      <c r="AK10" s="239"/>
      <c r="AL10" s="228"/>
      <c r="AM10" s="228"/>
    </row>
    <row r="11" spans="1:51" x14ac:dyDescent="0.3">
      <c r="A11" s="248">
        <v>44681</v>
      </c>
      <c r="D11" s="235">
        <v>1321417.304</v>
      </c>
      <c r="E11" s="235">
        <v>5456777.8669999996</v>
      </c>
      <c r="I11" s="236">
        <v>393714129</v>
      </c>
      <c r="J11" s="236">
        <v>1220688639</v>
      </c>
      <c r="K11" s="233">
        <f t="shared" si="4"/>
        <v>1614402768</v>
      </c>
      <c r="L11" s="233"/>
      <c r="M11" s="250">
        <v>44681</v>
      </c>
      <c r="N11" s="254">
        <f t="shared" si="0"/>
        <v>115391.01084407972</v>
      </c>
      <c r="O11" s="254">
        <f t="shared" si="1"/>
        <v>12206.88639</v>
      </c>
      <c r="P11" s="241">
        <f>N11*'Homes - Inputs'!$F$35</f>
        <v>22662.794529777257</v>
      </c>
      <c r="Q11" s="241">
        <f>O11*'Homes - Inputs'!$F$36</f>
        <v>9643.2050479768786</v>
      </c>
      <c r="R11" s="239"/>
      <c r="S11" s="239"/>
      <c r="T11" s="239"/>
      <c r="U11" s="239"/>
      <c r="V11" s="239"/>
      <c r="W11" s="239"/>
      <c r="X11" s="228"/>
      <c r="Y11" s="228"/>
      <c r="Z11" s="228"/>
      <c r="AA11" s="250">
        <v>44681</v>
      </c>
      <c r="AB11" s="254">
        <f t="shared" si="5"/>
        <v>115391.01084407972</v>
      </c>
      <c r="AC11" s="254">
        <f t="shared" si="6"/>
        <v>12206.88639</v>
      </c>
      <c r="AD11" s="271">
        <f t="shared" si="2"/>
        <v>75.240615209272121</v>
      </c>
      <c r="AE11" s="271">
        <f t="shared" si="3"/>
        <v>64.696497867000005</v>
      </c>
      <c r="AF11" s="239"/>
      <c r="AG11" s="239"/>
      <c r="AH11" s="239"/>
      <c r="AI11" s="239"/>
      <c r="AJ11" s="239"/>
      <c r="AK11" s="239"/>
      <c r="AL11" s="228"/>
      <c r="AM11" s="228"/>
      <c r="AR11" s="30"/>
    </row>
    <row r="12" spans="1:51" x14ac:dyDescent="0.3">
      <c r="A12" s="248">
        <v>44712</v>
      </c>
      <c r="D12" s="235">
        <v>1579575.7109999999</v>
      </c>
      <c r="E12" s="235">
        <v>1945636.841</v>
      </c>
      <c r="I12" s="236">
        <v>434744898.80000001</v>
      </c>
      <c r="J12" s="236">
        <v>1052047199</v>
      </c>
      <c r="K12" s="233">
        <f t="shared" si="4"/>
        <v>1486792097.8</v>
      </c>
      <c r="L12" s="233"/>
      <c r="M12" s="250">
        <v>44712</v>
      </c>
      <c r="N12" s="254">
        <f t="shared" si="0"/>
        <v>127416.44161781947</v>
      </c>
      <c r="O12" s="254">
        <f t="shared" si="1"/>
        <v>10520.47199</v>
      </c>
      <c r="P12" s="241">
        <f>N12*'Homes - Inputs'!$F$35</f>
        <v>25024.589133739741</v>
      </c>
      <c r="Q12" s="241">
        <f>O12*'Homes - Inputs'!$F$36</f>
        <v>8310.9701655105964</v>
      </c>
      <c r="R12" s="239"/>
      <c r="S12" s="239"/>
      <c r="T12" s="239"/>
      <c r="U12" s="239"/>
      <c r="V12" s="239"/>
      <c r="W12" s="239"/>
      <c r="X12" s="228"/>
      <c r="Y12" s="228"/>
      <c r="Z12" s="228"/>
      <c r="AA12" s="250">
        <v>44712</v>
      </c>
      <c r="AB12" s="254">
        <f t="shared" si="5"/>
        <v>127416.44161781947</v>
      </c>
      <c r="AC12" s="254">
        <f t="shared" si="6"/>
        <v>10520.47199</v>
      </c>
      <c r="AD12" s="271">
        <f t="shared" si="2"/>
        <v>83.081787610433324</v>
      </c>
      <c r="AE12" s="271">
        <f t="shared" si="3"/>
        <v>55.758501547000002</v>
      </c>
      <c r="AF12" s="239"/>
      <c r="AG12" s="239"/>
      <c r="AH12" s="239"/>
      <c r="AI12" s="239"/>
      <c r="AJ12" s="239"/>
      <c r="AK12" s="239"/>
      <c r="AL12" s="228"/>
      <c r="AM12" s="228"/>
      <c r="AR12" s="30"/>
    </row>
    <row r="13" spans="1:51" x14ac:dyDescent="0.3">
      <c r="A13" s="248">
        <v>44742</v>
      </c>
      <c r="D13" s="235">
        <v>2128432.8849999998</v>
      </c>
      <c r="E13" s="235">
        <v>1007881.274</v>
      </c>
      <c r="I13" s="236">
        <v>687127855.5</v>
      </c>
      <c r="J13" s="236">
        <v>402470409.80000001</v>
      </c>
      <c r="K13" s="233">
        <f t="shared" si="4"/>
        <v>1089598265.3</v>
      </c>
      <c r="L13" s="233"/>
      <c r="M13" s="250">
        <v>44742</v>
      </c>
      <c r="N13" s="254">
        <f t="shared" si="0"/>
        <v>201385.65518757325</v>
      </c>
      <c r="O13" s="254">
        <f t="shared" si="1"/>
        <v>4024.7040980000002</v>
      </c>
      <c r="P13" s="241">
        <f>N13*'Homes - Inputs'!$F$35</f>
        <v>39552.142678839387</v>
      </c>
      <c r="Q13" s="241">
        <f>O13*'Homes - Inputs'!$F$36</f>
        <v>3179.4386901348748</v>
      </c>
      <c r="R13" s="239"/>
      <c r="S13" s="239"/>
      <c r="T13" s="239"/>
      <c r="U13" s="239"/>
      <c r="V13" s="239"/>
      <c r="W13" s="239"/>
      <c r="X13" s="228"/>
      <c r="Y13" s="228"/>
      <c r="Z13" s="228"/>
      <c r="AA13" s="250">
        <v>44742</v>
      </c>
      <c r="AB13" s="254">
        <f t="shared" si="5"/>
        <v>201385.65518757325</v>
      </c>
      <c r="AC13" s="254">
        <f t="shared" si="6"/>
        <v>4024.7040980000002</v>
      </c>
      <c r="AD13" s="271">
        <f t="shared" si="2"/>
        <v>131.31335343885468</v>
      </c>
      <c r="AE13" s="271">
        <f t="shared" si="3"/>
        <v>21.330931719399999</v>
      </c>
      <c r="AF13" s="239"/>
      <c r="AG13" s="239"/>
      <c r="AH13" s="239"/>
      <c r="AI13" s="239"/>
      <c r="AJ13" s="239"/>
      <c r="AK13" s="239"/>
      <c r="AL13" s="228"/>
      <c r="AM13" s="228"/>
    </row>
    <row r="14" spans="1:51" x14ac:dyDescent="0.3">
      <c r="A14" s="248">
        <v>44773</v>
      </c>
      <c r="D14" s="235">
        <v>2506761.0210000002</v>
      </c>
      <c r="E14" s="235">
        <v>887716.20209999999</v>
      </c>
      <c r="I14" s="236">
        <v>715918835.20000005</v>
      </c>
      <c r="J14" s="236">
        <v>396080336.89999998</v>
      </c>
      <c r="K14" s="233">
        <f t="shared" si="4"/>
        <v>1111999172.0999999</v>
      </c>
      <c r="L14" s="233"/>
      <c r="M14" s="250">
        <v>44773</v>
      </c>
      <c r="N14" s="254">
        <f t="shared" si="0"/>
        <v>209823.8086752638</v>
      </c>
      <c r="O14" s="254">
        <f t="shared" si="1"/>
        <v>3960.8033689999997</v>
      </c>
      <c r="P14" s="241">
        <f>N14*'Homes - Inputs'!$F$35</f>
        <v>41209.396023821806</v>
      </c>
      <c r="Q14" s="241">
        <f>O14*'Homes - Inputs'!$F$36</f>
        <v>3128.9583454527938</v>
      </c>
      <c r="R14" s="239"/>
      <c r="S14" s="239"/>
      <c r="T14" s="239"/>
      <c r="U14" s="239"/>
      <c r="V14" s="239"/>
      <c r="W14" s="239"/>
      <c r="X14" s="228"/>
      <c r="Y14" s="228"/>
      <c r="Z14" s="228"/>
      <c r="AA14" s="250">
        <v>44773</v>
      </c>
      <c r="AB14" s="254">
        <f t="shared" si="5"/>
        <v>209823.8086752638</v>
      </c>
      <c r="AC14" s="254">
        <f t="shared" si="6"/>
        <v>3960.8033689999997</v>
      </c>
      <c r="AD14" s="271">
        <f t="shared" si="2"/>
        <v>136.8154445896289</v>
      </c>
      <c r="AE14" s="271">
        <f t="shared" si="3"/>
        <v>20.992257855699997</v>
      </c>
      <c r="AF14" s="239"/>
      <c r="AG14" s="239"/>
      <c r="AH14" s="239"/>
      <c r="AI14" s="239"/>
      <c r="AJ14" s="239"/>
      <c r="AK14" s="239"/>
      <c r="AL14" s="228"/>
      <c r="AM14" s="228"/>
    </row>
    <row r="15" spans="1:51" x14ac:dyDescent="0.3">
      <c r="A15" s="248">
        <v>44804</v>
      </c>
      <c r="D15" s="235">
        <v>2311096.63</v>
      </c>
      <c r="E15" s="235">
        <v>928593.55610000005</v>
      </c>
      <c r="I15" s="236">
        <v>743962351</v>
      </c>
      <c r="J15" s="236">
        <v>358354108.19999999</v>
      </c>
      <c r="K15" s="233">
        <f t="shared" si="4"/>
        <v>1102316459.2</v>
      </c>
      <c r="L15" s="233"/>
      <c r="M15" s="250">
        <v>44804</v>
      </c>
      <c r="N15" s="254">
        <f t="shared" si="0"/>
        <v>218042.893024619</v>
      </c>
      <c r="O15" s="254">
        <f t="shared" si="1"/>
        <v>3583.5410820000002</v>
      </c>
      <c r="P15" s="241">
        <f>N15*'Homes - Inputs'!$F$35</f>
        <v>42823.624190035167</v>
      </c>
      <c r="Q15" s="241">
        <f>O15*'Homes - Inputs'!$F$36</f>
        <v>2830.928407745665</v>
      </c>
      <c r="R15" s="239"/>
      <c r="S15" s="239"/>
      <c r="T15" s="239"/>
      <c r="U15" s="239"/>
      <c r="V15" s="239"/>
      <c r="W15" s="239"/>
      <c r="X15" s="228"/>
      <c r="Y15" s="228"/>
      <c r="Z15" s="228"/>
      <c r="AA15" s="250">
        <v>44804</v>
      </c>
      <c r="AB15" s="254">
        <f t="shared" si="5"/>
        <v>218042.893024619</v>
      </c>
      <c r="AC15" s="254">
        <f t="shared" si="6"/>
        <v>3583.5410820000002</v>
      </c>
      <c r="AD15" s="271">
        <f t="shared" si="2"/>
        <v>142.17469188609292</v>
      </c>
      <c r="AE15" s="271">
        <f t="shared" si="3"/>
        <v>18.992767734599997</v>
      </c>
      <c r="AF15" s="239"/>
      <c r="AG15" s="239"/>
      <c r="AH15" s="239"/>
      <c r="AI15" s="239"/>
      <c r="AJ15" s="239"/>
      <c r="AK15" s="239"/>
      <c r="AL15" s="228"/>
      <c r="AM15" s="228"/>
    </row>
    <row r="16" spans="1:51" x14ac:dyDescent="0.3">
      <c r="A16" s="248">
        <v>44834</v>
      </c>
      <c r="D16" s="235">
        <v>1544385.6089999999</v>
      </c>
      <c r="E16" s="235">
        <v>1510690.0449999999</v>
      </c>
      <c r="I16" s="236">
        <v>459264624.60000002</v>
      </c>
      <c r="J16" s="236">
        <v>664808689.89999998</v>
      </c>
      <c r="K16" s="233">
        <f t="shared" si="4"/>
        <v>1124073314.5</v>
      </c>
      <c r="L16" s="233"/>
      <c r="M16" s="250">
        <v>44834</v>
      </c>
      <c r="N16" s="254">
        <f t="shared" si="0"/>
        <v>134602.76219226263</v>
      </c>
      <c r="O16" s="254">
        <f t="shared" si="1"/>
        <v>6648.0868989999999</v>
      </c>
      <c r="P16" s="241">
        <f>N16*'Homes - Inputs'!$F$35</f>
        <v>26435.98249456038</v>
      </c>
      <c r="Q16" s="241">
        <f>O16*'Homes - Inputs'!$F$36</f>
        <v>5251.8605560500964</v>
      </c>
      <c r="R16" s="239"/>
      <c r="S16" s="239"/>
      <c r="T16" s="239"/>
      <c r="U16" s="239"/>
      <c r="V16" s="239"/>
      <c r="W16" s="239"/>
      <c r="X16" s="228"/>
      <c r="Y16" s="228"/>
      <c r="Z16" s="228"/>
      <c r="AA16" s="250">
        <v>44834</v>
      </c>
      <c r="AB16" s="254">
        <f t="shared" si="5"/>
        <v>134602.76219226263</v>
      </c>
      <c r="AC16" s="254">
        <f t="shared" si="6"/>
        <v>6648.0868989999999</v>
      </c>
      <c r="AD16" s="271">
        <f t="shared" si="2"/>
        <v>87.767622123511373</v>
      </c>
      <c r="AE16" s="271">
        <f t="shared" si="3"/>
        <v>35.2348605647</v>
      </c>
      <c r="AF16" s="239"/>
      <c r="AG16" s="239"/>
      <c r="AH16" s="239"/>
      <c r="AJ16" s="239"/>
      <c r="AK16" s="239"/>
      <c r="AL16" s="228"/>
      <c r="AM16" s="228"/>
      <c r="AU16" s="239"/>
    </row>
    <row r="17" spans="1:54" x14ac:dyDescent="0.3">
      <c r="A17" s="248">
        <v>44865</v>
      </c>
      <c r="D17" s="235">
        <v>1285702.419</v>
      </c>
      <c r="E17" s="235">
        <v>4247444.3370000003</v>
      </c>
      <c r="I17" s="236">
        <v>387971200.39999998</v>
      </c>
      <c r="J17" s="236">
        <v>1276339313</v>
      </c>
      <c r="K17" s="233">
        <f t="shared" si="4"/>
        <v>1664310513.4000001</v>
      </c>
      <c r="L17" s="233"/>
      <c r="M17" s="250">
        <v>44865</v>
      </c>
      <c r="N17" s="254">
        <f t="shared" si="0"/>
        <v>113707.85474794841</v>
      </c>
      <c r="O17" s="254">
        <f t="shared" si="1"/>
        <v>12763.39313</v>
      </c>
      <c r="P17" s="241">
        <f>N17*'Homes - Inputs'!$F$35</f>
        <v>22332.222672497068</v>
      </c>
      <c r="Q17" s="241">
        <f>O17*'Homes - Inputs'!$F$36</f>
        <v>10082.834649903662</v>
      </c>
      <c r="R17" s="239"/>
      <c r="S17" s="239"/>
      <c r="T17" s="239"/>
      <c r="U17" s="239"/>
      <c r="V17" s="239"/>
      <c r="W17" s="239"/>
      <c r="X17" s="228"/>
      <c r="Y17" s="228"/>
      <c r="Z17" s="228"/>
      <c r="AA17" s="250">
        <v>44865</v>
      </c>
      <c r="AB17" s="254">
        <f t="shared" si="5"/>
        <v>113707.85474794841</v>
      </c>
      <c r="AC17" s="254">
        <f t="shared" si="6"/>
        <v>12763.39313</v>
      </c>
      <c r="AD17" s="271">
        <f t="shared" si="2"/>
        <v>74.143114639342286</v>
      </c>
      <c r="AE17" s="271">
        <f t="shared" si="3"/>
        <v>67.645983588999997</v>
      </c>
      <c r="AF17" s="239"/>
      <c r="AG17" s="239"/>
      <c r="AH17" s="239"/>
      <c r="AI17" s="239"/>
      <c r="AJ17" s="239"/>
      <c r="AK17" s="239"/>
      <c r="AL17" s="228"/>
      <c r="AM17" s="228"/>
    </row>
    <row r="18" spans="1:54" x14ac:dyDescent="0.3">
      <c r="A18" s="248">
        <v>44895</v>
      </c>
      <c r="D18" s="235">
        <v>1313397.541</v>
      </c>
      <c r="E18" s="235">
        <v>7102705.375</v>
      </c>
      <c r="I18" s="236">
        <v>375167342</v>
      </c>
      <c r="J18" s="236">
        <v>1580347001</v>
      </c>
      <c r="K18" s="233">
        <f t="shared" si="4"/>
        <v>1955514343</v>
      </c>
      <c r="L18" s="233"/>
      <c r="M18" s="250">
        <v>44895</v>
      </c>
      <c r="N18" s="254">
        <f t="shared" si="0"/>
        <v>109955.25849941383</v>
      </c>
      <c r="O18" s="254">
        <f t="shared" si="1"/>
        <v>15803.470009999999</v>
      </c>
      <c r="P18" s="241">
        <f>N18*'Homes - Inputs'!$F$35</f>
        <v>21595.212769284877</v>
      </c>
      <c r="Q18" s="241">
        <f>O18*'Homes - Inputs'!$F$36</f>
        <v>12484.436809441231</v>
      </c>
      <c r="R18" s="239"/>
      <c r="S18" s="239"/>
      <c r="T18" s="239"/>
      <c r="U18" s="239"/>
      <c r="V18" s="239"/>
      <c r="W18" s="239"/>
      <c r="X18" s="228"/>
      <c r="Y18" s="228"/>
      <c r="Z18" s="228"/>
      <c r="AA18" s="250">
        <v>44895</v>
      </c>
      <c r="AB18" s="254">
        <f t="shared" si="5"/>
        <v>109955.25849941383</v>
      </c>
      <c r="AC18" s="254">
        <f t="shared" si="6"/>
        <v>15803.470009999999</v>
      </c>
      <c r="AD18" s="271">
        <f t="shared" si="2"/>
        <v>71.696237293296107</v>
      </c>
      <c r="AE18" s="271">
        <f t="shared" si="3"/>
        <v>83.758391052999997</v>
      </c>
      <c r="AF18" s="239"/>
      <c r="AG18" s="239"/>
      <c r="AH18" s="239"/>
      <c r="AI18" s="239"/>
      <c r="AJ18" s="239"/>
      <c r="AK18" s="239"/>
      <c r="AL18" s="228"/>
      <c r="AM18" s="228"/>
    </row>
    <row r="19" spans="1:54" x14ac:dyDescent="0.3">
      <c r="A19" s="248">
        <v>44926</v>
      </c>
      <c r="D19" s="235">
        <v>1445408.723</v>
      </c>
      <c r="E19" s="235">
        <v>10766936.02</v>
      </c>
      <c r="I19" s="236">
        <v>396625749.10000002</v>
      </c>
      <c r="J19" s="236">
        <v>2816897747</v>
      </c>
      <c r="K19" s="233">
        <f t="shared" si="4"/>
        <v>3213523496.0999999</v>
      </c>
      <c r="L19" s="233"/>
      <c r="M19" s="250">
        <v>44926</v>
      </c>
      <c r="N19" s="254">
        <f t="shared" si="0"/>
        <v>116244.35788393904</v>
      </c>
      <c r="O19" s="254">
        <f t="shared" si="1"/>
        <v>28168.977469999998</v>
      </c>
      <c r="P19" s="242">
        <f>N19*'Homes - Inputs'!$F$35</f>
        <v>22830.391888405626</v>
      </c>
      <c r="Q19" s="242">
        <f>O19*'Homes - Inputs'!$F$36</f>
        <v>22252.94944643545</v>
      </c>
      <c r="R19" s="239"/>
      <c r="S19" s="239"/>
      <c r="T19" s="239"/>
      <c r="U19" s="239"/>
      <c r="V19" s="239"/>
      <c r="W19" s="239"/>
      <c r="X19" s="228"/>
      <c r="Y19" s="228"/>
      <c r="Z19" s="228"/>
      <c r="AA19" s="250">
        <v>44926</v>
      </c>
      <c r="AB19" s="254">
        <f t="shared" si="5"/>
        <v>116244.35788393904</v>
      </c>
      <c r="AC19" s="254">
        <f t="shared" si="6"/>
        <v>28168.977469999998</v>
      </c>
      <c r="AD19" s="271">
        <f t="shared" si="2"/>
        <v>75.797039455808829</v>
      </c>
      <c r="AE19" s="271">
        <f t="shared" si="3"/>
        <v>149.295580591</v>
      </c>
      <c r="AF19" s="239"/>
      <c r="AG19" s="239"/>
      <c r="AH19" s="239"/>
      <c r="AI19" s="239"/>
      <c r="AJ19" s="239"/>
      <c r="AK19" s="239"/>
      <c r="AL19" s="228"/>
      <c r="AM19" s="228"/>
    </row>
    <row r="20" spans="1:54" x14ac:dyDescent="0.3">
      <c r="D20" s="145"/>
      <c r="E20" s="145"/>
      <c r="K20" s="308">
        <f>SUM(K8:K19)</f>
        <v>24295012294.099998</v>
      </c>
      <c r="L20" s="233"/>
      <c r="M20" s="249"/>
      <c r="N20" s="239"/>
      <c r="O20" s="239"/>
      <c r="P20" s="243">
        <f>SUM(P8:P19)</f>
        <v>330892.89520109026</v>
      </c>
      <c r="Q20" s="243">
        <f>SUM(Q8:Q19)</f>
        <v>146513.82701884393</v>
      </c>
      <c r="R20" s="309">
        <f>SUM(P20:Q20)</f>
        <v>477406.72221993422</v>
      </c>
      <c r="S20" s="239"/>
      <c r="T20" s="239"/>
      <c r="U20" s="239"/>
      <c r="V20" s="239"/>
      <c r="W20" s="239"/>
      <c r="X20" s="228"/>
      <c r="Y20" s="228"/>
      <c r="Z20" s="228"/>
      <c r="AA20" s="269"/>
      <c r="AB20" s="239"/>
      <c r="AC20" s="239"/>
      <c r="AD20" s="272">
        <f>SUM(AD8:AD19)</f>
        <v>1098.5664177731896</v>
      </c>
      <c r="AE20" s="272">
        <f>SUM(AE8:AE19)</f>
        <v>982.96483897740006</v>
      </c>
      <c r="AF20" s="310">
        <f>SUM(AD20:AE20)</f>
        <v>2081.5312567505898</v>
      </c>
      <c r="AG20" s="239"/>
      <c r="AH20" s="239"/>
      <c r="AI20" s="239"/>
      <c r="AJ20" s="239"/>
      <c r="AK20" s="239"/>
      <c r="AL20" s="228"/>
      <c r="AM20" s="228"/>
    </row>
    <row r="21" spans="1:54" x14ac:dyDescent="0.3">
      <c r="D21" s="145"/>
      <c r="E21" s="145"/>
      <c r="M21" s="249"/>
      <c r="N21" s="239"/>
      <c r="O21" s="239"/>
      <c r="P21" s="244"/>
      <c r="Q21" s="244"/>
      <c r="R21" s="244"/>
      <c r="S21" s="239"/>
      <c r="T21" s="239"/>
      <c r="U21" s="239"/>
      <c r="V21" s="239"/>
      <c r="W21" s="239"/>
      <c r="X21" s="228"/>
      <c r="Y21" s="228"/>
      <c r="Z21" s="228"/>
      <c r="AA21" s="269"/>
      <c r="AB21" s="239"/>
      <c r="AC21" s="239"/>
      <c r="AD21" s="244"/>
      <c r="AE21" s="244"/>
      <c r="AF21" s="244"/>
      <c r="AG21" s="239"/>
      <c r="AH21" s="239"/>
      <c r="AI21" s="239"/>
      <c r="AJ21" s="239"/>
      <c r="AK21" s="239"/>
      <c r="AL21" s="228"/>
      <c r="AM21" s="228"/>
    </row>
    <row r="22" spans="1:54" x14ac:dyDescent="0.3">
      <c r="A22" s="181" t="s">
        <v>328</v>
      </c>
      <c r="B22" s="172" t="s">
        <v>329</v>
      </c>
      <c r="I22" s="172" t="s">
        <v>307</v>
      </c>
      <c r="M22" s="249"/>
      <c r="N22" s="669" t="s">
        <v>330</v>
      </c>
      <c r="O22" s="670"/>
      <c r="P22" s="670"/>
      <c r="Q22" s="671"/>
      <c r="R22" s="239"/>
      <c r="S22" s="239"/>
      <c r="T22" s="239"/>
      <c r="U22" s="239"/>
      <c r="V22" s="239"/>
      <c r="W22" s="239"/>
      <c r="X22" s="228"/>
      <c r="Y22" s="228"/>
      <c r="Z22" s="228"/>
      <c r="AA22" s="269"/>
      <c r="AB22" s="669" t="s">
        <v>330</v>
      </c>
      <c r="AC22" s="670"/>
      <c r="AD22" s="670"/>
      <c r="AE22" s="671"/>
      <c r="AF22" s="239"/>
      <c r="AG22" s="239"/>
      <c r="AH22" s="239"/>
      <c r="AI22" s="239"/>
      <c r="AJ22" s="239"/>
      <c r="AK22" s="239"/>
      <c r="AL22" s="228"/>
      <c r="AM22" s="228"/>
    </row>
    <row r="23" spans="1:54" x14ac:dyDescent="0.3">
      <c r="B23" s="145" t="s">
        <v>331</v>
      </c>
      <c r="C23" s="145" t="s">
        <v>332</v>
      </c>
      <c r="D23" s="234" t="s">
        <v>312</v>
      </c>
      <c r="E23" s="234" t="s">
        <v>313</v>
      </c>
      <c r="F23" s="234" t="s">
        <v>333</v>
      </c>
      <c r="G23" s="234" t="s">
        <v>332</v>
      </c>
      <c r="H23" s="145"/>
      <c r="I23" s="234" t="s">
        <v>314</v>
      </c>
      <c r="J23" s="234" t="s">
        <v>315</v>
      </c>
      <c r="K23" s="234"/>
      <c r="L23" s="234"/>
      <c r="M23" s="251" t="s">
        <v>317</v>
      </c>
      <c r="N23" s="251" t="s">
        <v>334</v>
      </c>
      <c r="O23" s="251" t="s">
        <v>335</v>
      </c>
      <c r="P23" s="252" t="s">
        <v>320</v>
      </c>
      <c r="Q23" s="252" t="s">
        <v>321</v>
      </c>
      <c r="R23" s="239"/>
      <c r="S23" s="239"/>
      <c r="T23" s="239"/>
      <c r="U23" s="239"/>
      <c r="V23" s="239"/>
      <c r="W23" s="239"/>
      <c r="X23" s="228"/>
      <c r="Y23" s="228"/>
      <c r="Z23" s="228"/>
      <c r="AA23" s="251" t="s">
        <v>317</v>
      </c>
      <c r="AB23" s="251" t="s">
        <v>334</v>
      </c>
      <c r="AC23" s="251" t="s">
        <v>335</v>
      </c>
      <c r="AD23" s="252" t="s">
        <v>322</v>
      </c>
      <c r="AE23" s="252" t="s">
        <v>323</v>
      </c>
      <c r="AF23" s="239"/>
      <c r="AG23" s="239"/>
      <c r="AH23" s="239"/>
      <c r="AI23" s="239"/>
      <c r="AJ23" s="239"/>
      <c r="AK23" s="239"/>
      <c r="AL23" s="228"/>
      <c r="AM23" s="228"/>
    </row>
    <row r="24" spans="1:54" x14ac:dyDescent="0.3">
      <c r="A24" s="248">
        <v>44592</v>
      </c>
      <c r="B24" s="235">
        <v>3151074.32764677</v>
      </c>
      <c r="C24" s="235">
        <v>717225.317037181</v>
      </c>
      <c r="D24" s="235">
        <v>4037880.6179999998</v>
      </c>
      <c r="E24" s="235">
        <v>791550.54319999996</v>
      </c>
      <c r="F24" s="235">
        <v>4916931.1616588701</v>
      </c>
      <c r="G24" s="235">
        <v>915637.60841261595</v>
      </c>
      <c r="H24" s="145"/>
      <c r="I24" s="182">
        <v>1176406749.4556999</v>
      </c>
      <c r="J24" s="182">
        <v>222246114.246566</v>
      </c>
      <c r="K24" s="233">
        <f>I24+J24</f>
        <v>1398652863.702266</v>
      </c>
      <c r="L24" s="233"/>
      <c r="M24" s="250">
        <v>44592</v>
      </c>
      <c r="N24" s="254">
        <f t="shared" ref="N24:N35" si="7">I24/1000/3.412</f>
        <v>344785.09655794257</v>
      </c>
      <c r="O24" s="254">
        <f t="shared" ref="O24:O35" si="8">J24/1000/100</f>
        <v>2222.46114246566</v>
      </c>
      <c r="P24" s="241">
        <f>N24*'Homes - Inputs'!$F$35</f>
        <v>67715.792963979911</v>
      </c>
      <c r="Q24" s="241">
        <f>O24*'Homes - Inputs'!$F$36</f>
        <v>1755.7014805605406</v>
      </c>
      <c r="R24" s="244"/>
      <c r="S24" s="239"/>
      <c r="T24" s="239"/>
      <c r="U24" s="239"/>
      <c r="V24" s="239"/>
      <c r="W24" s="239"/>
      <c r="X24" s="228"/>
      <c r="Y24" s="228"/>
      <c r="Z24" s="228"/>
      <c r="AA24" s="250">
        <v>44592</v>
      </c>
      <c r="AB24" s="254">
        <f>N24</f>
        <v>344785.09655794257</v>
      </c>
      <c r="AC24" s="254">
        <f>O24</f>
        <v>2222.46114246566</v>
      </c>
      <c r="AD24" s="273">
        <f t="shared" ref="AD24:AD35" si="9">I24*$AI$7/1000</f>
        <v>224.81684309934153</v>
      </c>
      <c r="AE24" s="273">
        <f t="shared" ref="AE24:AE35" si="10">J24*$AI$8/1000</f>
        <v>11.779044055067997</v>
      </c>
      <c r="AF24" s="274"/>
      <c r="AG24" s="239"/>
      <c r="AH24" s="239"/>
      <c r="AI24" s="239"/>
      <c r="AJ24" s="239"/>
      <c r="AK24" s="239"/>
      <c r="AL24" s="228"/>
      <c r="AM24" s="228"/>
      <c r="BB24" s="228"/>
    </row>
    <row r="25" spans="1:54" x14ac:dyDescent="0.3">
      <c r="A25" s="248">
        <v>44620</v>
      </c>
      <c r="B25" s="235">
        <v>2406405.4801624999</v>
      </c>
      <c r="C25" s="235">
        <v>654566.51550761098</v>
      </c>
      <c r="D25" s="235">
        <v>3097487.4160000002</v>
      </c>
      <c r="E25" s="235">
        <v>722625.92330000002</v>
      </c>
      <c r="F25" s="235">
        <v>3811853.4189833198</v>
      </c>
      <c r="G25" s="235">
        <v>836217.76509037998</v>
      </c>
      <c r="H25" s="145"/>
      <c r="I25" s="182">
        <v>1030158052.89924</v>
      </c>
      <c r="J25" s="182">
        <v>200834112.52231899</v>
      </c>
      <c r="K25" s="233">
        <f t="shared" ref="K25:K35" si="11">I25+J25</f>
        <v>1230992165.4215591</v>
      </c>
      <c r="L25" s="233"/>
      <c r="M25" s="250">
        <v>44620</v>
      </c>
      <c r="N25" s="254">
        <f t="shared" si="7"/>
        <v>301922.05536320049</v>
      </c>
      <c r="O25" s="254">
        <f t="shared" si="8"/>
        <v>2008.3411252231899</v>
      </c>
      <c r="P25" s="241">
        <f>N25*'Homes - Inputs'!$F$35</f>
        <v>59297.491673332574</v>
      </c>
      <c r="Q25" s="241">
        <f>O25*'Homes - Inputs'!$F$36</f>
        <v>1586.5507925655256</v>
      </c>
      <c r="R25" s="244"/>
      <c r="S25" s="239"/>
      <c r="T25" s="239"/>
      <c r="U25" s="239"/>
      <c r="V25" s="239"/>
      <c r="W25" s="239"/>
      <c r="X25" s="228"/>
      <c r="Y25" s="228"/>
      <c r="AA25" s="250">
        <v>44620</v>
      </c>
      <c r="AB25" s="254">
        <f t="shared" ref="AB25:AC35" si="12">N25</f>
        <v>301922.05536320049</v>
      </c>
      <c r="AC25" s="254">
        <f t="shared" si="12"/>
        <v>2008.3411252231899</v>
      </c>
      <c r="AD25" s="273">
        <f t="shared" si="9"/>
        <v>196.86803178690269</v>
      </c>
      <c r="AE25" s="273">
        <f t="shared" si="10"/>
        <v>10.644207963682906</v>
      </c>
      <c r="AF25" s="274"/>
      <c r="AG25" s="239"/>
      <c r="AH25" s="239"/>
      <c r="AI25" s="239"/>
      <c r="AJ25" s="239"/>
      <c r="AK25" s="239"/>
      <c r="AL25" s="228"/>
      <c r="AM25" s="228"/>
    </row>
    <row r="26" spans="1:54" x14ac:dyDescent="0.3">
      <c r="A26" s="248">
        <v>44651</v>
      </c>
      <c r="B26" s="235">
        <v>1881543.5299467</v>
      </c>
      <c r="C26" s="235">
        <v>715525.11965227895</v>
      </c>
      <c r="D26" s="235">
        <v>2432993.375</v>
      </c>
      <c r="E26" s="235">
        <v>789633.54960000003</v>
      </c>
      <c r="F26" s="235">
        <v>3032652.6646153899</v>
      </c>
      <c r="G26" s="235">
        <v>913277.59893045097</v>
      </c>
      <c r="H26" s="145"/>
      <c r="I26" s="182">
        <v>602366842.101318</v>
      </c>
      <c r="J26" s="182">
        <v>222252057.610273</v>
      </c>
      <c r="K26" s="233">
        <f t="shared" si="11"/>
        <v>824618899.71159101</v>
      </c>
      <c r="L26" s="233"/>
      <c r="M26" s="250">
        <v>44651</v>
      </c>
      <c r="N26" s="254">
        <f t="shared" si="7"/>
        <v>176543.62312465356</v>
      </c>
      <c r="O26" s="254">
        <f t="shared" si="8"/>
        <v>2222.52057610273</v>
      </c>
      <c r="P26" s="241">
        <f>N26*'Homes - Inputs'!$F$35</f>
        <v>34673.167581681955</v>
      </c>
      <c r="Q26" s="241">
        <f>O26*'Homes - Inputs'!$F$36</f>
        <v>1755.7484319886692</v>
      </c>
      <c r="R26" s="244"/>
      <c r="S26" s="239"/>
      <c r="T26" s="239"/>
      <c r="U26" s="239"/>
      <c r="V26" s="239"/>
      <c r="W26" s="239"/>
      <c r="X26" s="228"/>
      <c r="Y26" s="228"/>
      <c r="Z26" s="228"/>
      <c r="AA26" s="250">
        <v>44651</v>
      </c>
      <c r="AB26" s="254">
        <f t="shared" si="12"/>
        <v>176543.62312465356</v>
      </c>
      <c r="AC26" s="254">
        <f t="shared" si="12"/>
        <v>2222.52057610273</v>
      </c>
      <c r="AD26" s="273">
        <f t="shared" si="9"/>
        <v>115.11512654240977</v>
      </c>
      <c r="AE26" s="273">
        <f t="shared" si="10"/>
        <v>11.77935905334447</v>
      </c>
      <c r="AF26" s="274"/>
      <c r="AG26" s="239"/>
      <c r="AH26" s="239"/>
      <c r="AI26" s="239"/>
      <c r="AJ26" s="239"/>
      <c r="AK26" s="239"/>
      <c r="AL26" s="228"/>
      <c r="AM26" s="228"/>
    </row>
    <row r="27" spans="1:54" x14ac:dyDescent="0.3">
      <c r="A27" s="248">
        <v>44681</v>
      </c>
      <c r="B27" s="235">
        <v>1353394.3729777201</v>
      </c>
      <c r="C27" s="235">
        <v>672986.34091721801</v>
      </c>
      <c r="D27" s="235">
        <v>1770977.067</v>
      </c>
      <c r="E27" s="235">
        <v>742059.82460000005</v>
      </c>
      <c r="F27" s="235">
        <v>2235468.6286014598</v>
      </c>
      <c r="G27" s="235">
        <v>857362.421648897</v>
      </c>
      <c r="H27" s="145"/>
      <c r="I27" s="182">
        <v>417084931.75366801</v>
      </c>
      <c r="J27" s="182">
        <v>214826116.03511399</v>
      </c>
      <c r="K27" s="233">
        <f t="shared" si="11"/>
        <v>631911047.788782</v>
      </c>
      <c r="L27" s="233"/>
      <c r="M27" s="250">
        <v>44681</v>
      </c>
      <c r="N27" s="254">
        <f t="shared" si="7"/>
        <v>122240.60133460375</v>
      </c>
      <c r="O27" s="254">
        <f t="shared" si="8"/>
        <v>2148.26116035114</v>
      </c>
      <c r="P27" s="241">
        <f>N27*'Homes - Inputs'!$F$35</f>
        <v>24008.054102116177</v>
      </c>
      <c r="Q27" s="241">
        <f>O27*'Homes - Inputs'!$F$36</f>
        <v>1697.0849243621722</v>
      </c>
      <c r="R27" s="244"/>
      <c r="S27" s="239"/>
      <c r="T27" s="239"/>
      <c r="U27" s="239"/>
      <c r="V27" s="239"/>
      <c r="W27" s="239"/>
      <c r="X27" s="228"/>
      <c r="Y27" s="228"/>
      <c r="Z27" s="228"/>
      <c r="AA27" s="250">
        <v>44681</v>
      </c>
      <c r="AB27" s="254">
        <f t="shared" si="12"/>
        <v>122240.60133460375</v>
      </c>
      <c r="AC27" s="254">
        <f t="shared" si="12"/>
        <v>2148.26116035114</v>
      </c>
      <c r="AD27" s="273">
        <f t="shared" si="9"/>
        <v>79.706885143721252</v>
      </c>
      <c r="AE27" s="273">
        <f t="shared" si="10"/>
        <v>11.385784149861042</v>
      </c>
      <c r="AF27" s="274"/>
      <c r="AG27" s="239"/>
      <c r="AH27" s="239"/>
      <c r="AI27" s="239"/>
      <c r="AJ27" s="239"/>
      <c r="AK27" s="239"/>
      <c r="AL27" s="228"/>
      <c r="AM27" s="228"/>
    </row>
    <row r="28" spans="1:54" x14ac:dyDescent="0.3">
      <c r="A28" s="248">
        <v>44712</v>
      </c>
      <c r="B28" s="235">
        <v>941381.32438888995</v>
      </c>
      <c r="C28" s="235">
        <v>664580.16893313895</v>
      </c>
      <c r="D28" s="235">
        <v>1215214.3689999999</v>
      </c>
      <c r="E28" s="235">
        <v>731835.97069999995</v>
      </c>
      <c r="F28" s="235">
        <v>1618651.2475529599</v>
      </c>
      <c r="G28" s="235">
        <v>844119.23023329</v>
      </c>
      <c r="H28" s="145"/>
      <c r="I28" s="182">
        <v>417687432.83130997</v>
      </c>
      <c r="J28" s="182">
        <v>211832764.47197399</v>
      </c>
      <c r="K28" s="233">
        <f t="shared" si="11"/>
        <v>629520197.30328393</v>
      </c>
      <c r="L28" s="233"/>
      <c r="M28" s="250">
        <v>44712</v>
      </c>
      <c r="N28" s="254">
        <f t="shared" si="7"/>
        <v>122417.184299915</v>
      </c>
      <c r="O28" s="254">
        <f t="shared" si="8"/>
        <v>2118.32764471974</v>
      </c>
      <c r="P28" s="241">
        <f>N28*'Homes - Inputs'!$F$35</f>
        <v>24042.734996503303</v>
      </c>
      <c r="Q28" s="241">
        <f>O28*'Homes - Inputs'!$F$36</f>
        <v>1673.4380237670393</v>
      </c>
      <c r="R28" s="244"/>
      <c r="S28" s="239"/>
      <c r="T28" s="239"/>
      <c r="U28" s="239"/>
      <c r="V28" s="239"/>
      <c r="W28" s="239"/>
      <c r="X28" s="228"/>
      <c r="Y28" s="228"/>
      <c r="Z28" s="228"/>
      <c r="AA28" s="250">
        <v>44712</v>
      </c>
      <c r="AB28" s="254">
        <f t="shared" si="12"/>
        <v>122417.184299915</v>
      </c>
      <c r="AC28" s="254">
        <f t="shared" si="12"/>
        <v>2118.32764471974</v>
      </c>
      <c r="AD28" s="273">
        <f t="shared" si="9"/>
        <v>79.822025923304579</v>
      </c>
      <c r="AE28" s="273">
        <f t="shared" si="10"/>
        <v>11.227136517014621</v>
      </c>
      <c r="AF28" s="274"/>
      <c r="AG28" s="239"/>
      <c r="AH28" s="239"/>
      <c r="AI28" s="239"/>
      <c r="AJ28" s="239"/>
      <c r="AK28" s="239"/>
      <c r="AL28" s="228"/>
      <c r="AM28" s="228"/>
    </row>
    <row r="29" spans="1:54" x14ac:dyDescent="0.3">
      <c r="A29" s="248">
        <v>44742</v>
      </c>
      <c r="B29" s="235">
        <v>1201726.48434841</v>
      </c>
      <c r="C29" s="235">
        <v>613594.67471255001</v>
      </c>
      <c r="D29" s="235">
        <v>1439507.6880000001</v>
      </c>
      <c r="E29" s="235">
        <v>674656.68500000006</v>
      </c>
      <c r="F29" s="235">
        <v>1922644.3386796501</v>
      </c>
      <c r="G29" s="235">
        <v>776552.26375981304</v>
      </c>
      <c r="H29" s="145"/>
      <c r="I29" s="182">
        <v>587040426.28499401</v>
      </c>
      <c r="J29" s="182">
        <v>193184828.93471399</v>
      </c>
      <c r="K29" s="233">
        <f t="shared" si="11"/>
        <v>780225255.21970797</v>
      </c>
      <c r="L29" s="233"/>
      <c r="M29" s="250">
        <v>44742</v>
      </c>
      <c r="N29" s="254">
        <f t="shared" si="7"/>
        <v>172051.70758645781</v>
      </c>
      <c r="O29" s="254">
        <f t="shared" si="8"/>
        <v>1931.8482893471401</v>
      </c>
      <c r="P29" s="241">
        <f>N29*'Homes - Inputs'!$F$35</f>
        <v>33790.955369980315</v>
      </c>
      <c r="Q29" s="241">
        <f>O29*'Homes - Inputs'!$F$36</f>
        <v>1526.1229260738485</v>
      </c>
      <c r="R29" s="244"/>
      <c r="S29" s="239"/>
      <c r="T29" s="239"/>
      <c r="U29" s="239"/>
      <c r="V29" s="239"/>
      <c r="W29" s="239"/>
      <c r="X29" s="228"/>
      <c r="Y29" s="228"/>
      <c r="Z29" s="228"/>
      <c r="AA29" s="250">
        <v>44742</v>
      </c>
      <c r="AB29" s="254">
        <f t="shared" si="12"/>
        <v>172051.70758645781</v>
      </c>
      <c r="AC29" s="254">
        <f t="shared" si="12"/>
        <v>1931.8482893471401</v>
      </c>
      <c r="AD29" s="273">
        <f t="shared" si="9"/>
        <v>112.18617665203553</v>
      </c>
      <c r="AE29" s="273">
        <f t="shared" si="10"/>
        <v>10.238795933539841</v>
      </c>
      <c r="AF29" s="274"/>
      <c r="AG29" s="239"/>
      <c r="AH29" s="239"/>
      <c r="AI29" s="239"/>
      <c r="AJ29" s="239"/>
      <c r="AK29" s="239"/>
      <c r="AL29" s="228"/>
      <c r="AM29" s="228"/>
    </row>
    <row r="30" spans="1:54" x14ac:dyDescent="0.3">
      <c r="A30" s="248">
        <v>44773</v>
      </c>
      <c r="B30" s="235">
        <v>1369201.8735173801</v>
      </c>
      <c r="C30" s="235">
        <v>612849.54872171895</v>
      </c>
      <c r="D30" s="235">
        <v>1604064.223</v>
      </c>
      <c r="E30" s="235">
        <v>673059.33970000001</v>
      </c>
      <c r="F30" s="235">
        <v>2142746.9683138598</v>
      </c>
      <c r="G30" s="235">
        <v>773356.470940492</v>
      </c>
      <c r="H30" s="145"/>
      <c r="I30" s="182">
        <v>616703594.22528005</v>
      </c>
      <c r="J30" s="182">
        <v>192194484.40824401</v>
      </c>
      <c r="K30" s="233">
        <f t="shared" si="11"/>
        <v>808898078.63352406</v>
      </c>
      <c r="L30" s="233"/>
      <c r="M30" s="250">
        <v>44773</v>
      </c>
      <c r="N30" s="254">
        <f t="shared" si="7"/>
        <v>180745.48482569758</v>
      </c>
      <c r="O30" s="254">
        <f t="shared" si="8"/>
        <v>1921.9448440824403</v>
      </c>
      <c r="P30" s="241">
        <f>N30*'Homes - Inputs'!$F$35</f>
        <v>35498.413219767004</v>
      </c>
      <c r="Q30" s="241">
        <f>O30*'Homes - Inputs'!$F$36</f>
        <v>1518.2993951325636</v>
      </c>
      <c r="R30" s="244"/>
      <c r="S30" s="239"/>
      <c r="T30" s="239"/>
      <c r="U30" s="239"/>
      <c r="V30" s="239"/>
      <c r="W30" s="239"/>
      <c r="X30" s="228"/>
      <c r="Y30" s="228"/>
      <c r="Z30" s="228"/>
      <c r="AA30" s="250">
        <v>44773</v>
      </c>
      <c r="AB30" s="254">
        <f t="shared" si="12"/>
        <v>180745.48482569758</v>
      </c>
      <c r="AC30" s="254">
        <f t="shared" si="12"/>
        <v>1921.9448440824403</v>
      </c>
      <c r="AD30" s="273">
        <f t="shared" si="9"/>
        <v>117.85494706307425</v>
      </c>
      <c r="AE30" s="273">
        <f t="shared" si="10"/>
        <v>10.186307673636932</v>
      </c>
      <c r="AF30" s="274"/>
      <c r="AG30" s="239"/>
      <c r="AH30" s="239"/>
      <c r="AI30" s="239"/>
      <c r="AJ30" s="239"/>
      <c r="AK30" s="239"/>
      <c r="AL30" s="228"/>
      <c r="AM30" s="228"/>
    </row>
    <row r="31" spans="1:54" x14ac:dyDescent="0.3">
      <c r="A31" s="248">
        <v>44804</v>
      </c>
      <c r="B31" s="235">
        <v>1256788.7063815999</v>
      </c>
      <c r="C31" s="235">
        <v>605293.93212852196</v>
      </c>
      <c r="D31" s="235">
        <v>1471323.7139999999</v>
      </c>
      <c r="E31" s="235">
        <v>664436.70990000002</v>
      </c>
      <c r="F31" s="235">
        <v>2006122.2300203301</v>
      </c>
      <c r="G31" s="235">
        <v>763115.08567488904</v>
      </c>
      <c r="H31" s="145"/>
      <c r="I31" s="182">
        <v>646854127.76955605</v>
      </c>
      <c r="J31" s="182">
        <v>189652455.394618</v>
      </c>
      <c r="K31" s="233">
        <f t="shared" si="11"/>
        <v>836506583.16417408</v>
      </c>
      <c r="L31" s="233"/>
      <c r="M31" s="250">
        <v>44804</v>
      </c>
      <c r="N31" s="254">
        <f t="shared" si="7"/>
        <v>189582.10075309381</v>
      </c>
      <c r="O31" s="254">
        <f t="shared" si="8"/>
        <v>1896.52455394618</v>
      </c>
      <c r="P31" s="241">
        <f>N31*'Homes - Inputs'!$F$35</f>
        <v>37233.924587907619</v>
      </c>
      <c r="Q31" s="241">
        <f>O31*'Homes - Inputs'!$F$36</f>
        <v>1498.2178557185623</v>
      </c>
      <c r="R31" s="244"/>
      <c r="S31" s="239"/>
      <c r="T31" s="239"/>
      <c r="U31" s="239"/>
      <c r="V31" s="239"/>
      <c r="W31" s="239"/>
      <c r="X31" s="228"/>
      <c r="Y31" s="228"/>
      <c r="Z31" s="228"/>
      <c r="AA31" s="250">
        <v>44804</v>
      </c>
      <c r="AB31" s="254">
        <f t="shared" si="12"/>
        <v>189582.10075309381</v>
      </c>
      <c r="AC31" s="254">
        <f t="shared" si="12"/>
        <v>1896.52455394618</v>
      </c>
      <c r="AD31" s="273">
        <f t="shared" si="9"/>
        <v>123.61685532509428</v>
      </c>
      <c r="AE31" s="273">
        <f t="shared" si="10"/>
        <v>10.051580135914753</v>
      </c>
      <c r="AF31" s="274"/>
      <c r="AG31" s="239"/>
      <c r="AH31" s="239"/>
      <c r="AI31" s="239"/>
      <c r="AJ31" s="239"/>
      <c r="AK31" s="239"/>
      <c r="AL31" s="228"/>
      <c r="AM31" s="228"/>
    </row>
    <row r="32" spans="1:54" x14ac:dyDescent="0.3">
      <c r="A32" s="248">
        <v>44834</v>
      </c>
      <c r="B32" s="235">
        <v>882459.92443377199</v>
      </c>
      <c r="C32" s="235">
        <v>593984.82890673506</v>
      </c>
      <c r="D32" s="235">
        <v>1118005.2080000001</v>
      </c>
      <c r="E32" s="235">
        <v>652446.49380000005</v>
      </c>
      <c r="F32" s="235">
        <v>1511290.6798340301</v>
      </c>
      <c r="G32" s="235">
        <v>749952.553675537</v>
      </c>
      <c r="H32" s="145"/>
      <c r="I32" s="182">
        <v>375287314.24885499</v>
      </c>
      <c r="J32" s="182">
        <v>186375154.649519</v>
      </c>
      <c r="K32" s="233">
        <f t="shared" si="11"/>
        <v>561662468.89837396</v>
      </c>
      <c r="L32" s="233"/>
      <c r="M32" s="250">
        <v>44834</v>
      </c>
      <c r="N32" s="254">
        <f t="shared" si="7"/>
        <v>109990.42035429513</v>
      </c>
      <c r="O32" s="254">
        <f t="shared" si="8"/>
        <v>1863.7515464951898</v>
      </c>
      <c r="P32" s="241">
        <f>N32*'Homes - Inputs'!$F$35</f>
        <v>21602.118557583563</v>
      </c>
      <c r="Q32" s="241">
        <f>O32*'Homes - Inputs'!$F$36</f>
        <v>1472.327811296778</v>
      </c>
      <c r="R32" s="244"/>
      <c r="S32" s="239"/>
      <c r="T32" s="239"/>
      <c r="U32" s="239"/>
      <c r="V32" s="239"/>
      <c r="W32" s="239"/>
      <c r="X32" s="228"/>
      <c r="Y32" s="228"/>
      <c r="Z32" s="228"/>
      <c r="AA32" s="250">
        <v>44834</v>
      </c>
      <c r="AB32" s="254">
        <f t="shared" si="12"/>
        <v>109990.42035429513</v>
      </c>
      <c r="AC32" s="254">
        <f t="shared" si="12"/>
        <v>1863.7515464951898</v>
      </c>
      <c r="AD32" s="273">
        <f t="shared" si="9"/>
        <v>71.719164552307149</v>
      </c>
      <c r="AE32" s="273">
        <f t="shared" si="10"/>
        <v>9.8778831964245075</v>
      </c>
      <c r="AF32" s="274"/>
      <c r="AG32" s="239"/>
      <c r="AH32" s="239"/>
      <c r="AI32" s="239"/>
      <c r="AJ32" s="239"/>
      <c r="AK32" s="239"/>
      <c r="AL32" s="228"/>
      <c r="AM32" s="228"/>
    </row>
    <row r="33" spans="1:39" x14ac:dyDescent="0.3">
      <c r="A33" s="248">
        <v>44865</v>
      </c>
      <c r="B33" s="235">
        <v>1099919.2867063</v>
      </c>
      <c r="C33" s="235">
        <v>636459.44383392099</v>
      </c>
      <c r="D33" s="235">
        <v>1476126.973</v>
      </c>
      <c r="E33" s="235">
        <v>699819.7733</v>
      </c>
      <c r="F33" s="235">
        <v>1901209.1224102499</v>
      </c>
      <c r="G33" s="235">
        <v>805996.65438656404</v>
      </c>
      <c r="H33" s="145"/>
      <c r="I33" s="182">
        <v>440120922.40555203</v>
      </c>
      <c r="J33" s="182">
        <v>200464994.660714</v>
      </c>
      <c r="K33" s="233">
        <f t="shared" si="11"/>
        <v>640585917.06626606</v>
      </c>
      <c r="L33" s="233"/>
      <c r="M33" s="250">
        <v>44865</v>
      </c>
      <c r="N33" s="254">
        <f t="shared" si="7"/>
        <v>128992.06401100586</v>
      </c>
      <c r="O33" s="254">
        <f t="shared" si="8"/>
        <v>2004.64994660714</v>
      </c>
      <c r="P33" s="241">
        <f>N33*'Homes - Inputs'!$F$35</f>
        <v>25334.041371761548</v>
      </c>
      <c r="Q33" s="241">
        <f>O33*'Homes - Inputs'!$F$36</f>
        <v>1583.6348325798215</v>
      </c>
      <c r="R33" s="244"/>
      <c r="S33" s="239"/>
      <c r="T33" s="239"/>
      <c r="U33" s="239"/>
      <c r="V33" s="239"/>
      <c r="W33" s="239"/>
      <c r="X33" s="228"/>
      <c r="Y33" s="228"/>
      <c r="Z33" s="228"/>
      <c r="AA33" s="250">
        <v>44865</v>
      </c>
      <c r="AB33" s="254">
        <f t="shared" si="12"/>
        <v>128992.06401100586</v>
      </c>
      <c r="AC33" s="254">
        <f t="shared" si="12"/>
        <v>2004.64994660714</v>
      </c>
      <c r="AD33" s="273">
        <f t="shared" si="9"/>
        <v>84.109170916408871</v>
      </c>
      <c r="AE33" s="273">
        <f t="shared" si="10"/>
        <v>10.624644717017842</v>
      </c>
      <c r="AF33" s="274"/>
      <c r="AG33" s="239"/>
      <c r="AH33" s="239"/>
      <c r="AI33" s="239"/>
      <c r="AJ33" s="239"/>
      <c r="AK33" s="239"/>
      <c r="AL33" s="228"/>
      <c r="AM33" s="228"/>
    </row>
    <row r="34" spans="1:39" x14ac:dyDescent="0.3">
      <c r="A34" s="248">
        <v>44895</v>
      </c>
      <c r="B34" s="235">
        <v>1684217.4861351899</v>
      </c>
      <c r="C34" s="235">
        <v>646171.95433787897</v>
      </c>
      <c r="D34" s="235">
        <v>2170239.787</v>
      </c>
      <c r="E34" s="235">
        <v>711505.196</v>
      </c>
      <c r="F34" s="235">
        <v>2702072.3747685598</v>
      </c>
      <c r="G34" s="235">
        <v>820973.703693302</v>
      </c>
      <c r="H34" s="145"/>
      <c r="I34" s="182">
        <v>523242449.38830501</v>
      </c>
      <c r="J34" s="182">
        <v>206262403.93040401</v>
      </c>
      <c r="K34" s="233">
        <f t="shared" si="11"/>
        <v>729504853.31870902</v>
      </c>
      <c r="L34" s="233"/>
      <c r="M34" s="250">
        <v>44895</v>
      </c>
      <c r="N34" s="254">
        <f t="shared" si="7"/>
        <v>153353.59009035904</v>
      </c>
      <c r="O34" s="254">
        <f t="shared" si="8"/>
        <v>2062.6240393040403</v>
      </c>
      <c r="P34" s="241">
        <f>N34*'Homes - Inputs'!$F$35</f>
        <v>30118.645093746512</v>
      </c>
      <c r="Q34" s="241">
        <f>O34*'Homes - Inputs'!$F$36</f>
        <v>1629.4332487758313</v>
      </c>
      <c r="R34" s="244"/>
      <c r="S34" s="239"/>
      <c r="T34" s="239"/>
      <c r="U34" s="239"/>
      <c r="V34" s="239"/>
      <c r="W34" s="239"/>
      <c r="X34" s="228"/>
      <c r="Y34" s="228"/>
      <c r="Z34" s="228"/>
      <c r="AA34" s="250">
        <v>44895</v>
      </c>
      <c r="AB34" s="254">
        <f t="shared" si="12"/>
        <v>153353.59009035904</v>
      </c>
      <c r="AC34" s="254">
        <f t="shared" si="12"/>
        <v>2062.6240393040403</v>
      </c>
      <c r="AD34" s="273">
        <f t="shared" si="9"/>
        <v>99.994084275249605</v>
      </c>
      <c r="AE34" s="273">
        <f t="shared" si="10"/>
        <v>10.931907408311412</v>
      </c>
      <c r="AF34" s="274"/>
      <c r="AG34" s="239"/>
      <c r="AH34" s="239"/>
      <c r="AI34" s="239"/>
      <c r="AJ34" s="239"/>
      <c r="AK34" s="239"/>
      <c r="AL34" s="228"/>
      <c r="AM34" s="228"/>
    </row>
    <row r="35" spans="1:39" x14ac:dyDescent="0.3">
      <c r="A35" s="248">
        <v>44926</v>
      </c>
      <c r="B35" s="235">
        <v>2493203.8098081299</v>
      </c>
      <c r="C35" s="235">
        <v>697314.51532469201</v>
      </c>
      <c r="D35" s="235">
        <v>3183654.7420000001</v>
      </c>
      <c r="E35" s="235">
        <v>768923.24309999996</v>
      </c>
      <c r="F35" s="235">
        <v>3898154.3487265902</v>
      </c>
      <c r="G35" s="235">
        <v>888440.83562615898</v>
      </c>
      <c r="H35" s="145"/>
      <c r="I35" s="182">
        <v>893947172.911798</v>
      </c>
      <c r="J35" s="182">
        <v>222010578.16098401</v>
      </c>
      <c r="K35" s="233">
        <f t="shared" si="11"/>
        <v>1115957751.072782</v>
      </c>
      <c r="L35" s="233"/>
      <c r="M35" s="250">
        <v>44926</v>
      </c>
      <c r="N35" s="254">
        <f t="shared" si="7"/>
        <v>262000.92992725616</v>
      </c>
      <c r="O35" s="254">
        <f t="shared" si="8"/>
        <v>2220.1057816098401</v>
      </c>
      <c r="P35" s="242">
        <f>N35*'Homes - Inputs'!$F$35</f>
        <v>51456.98263771311</v>
      </c>
      <c r="Q35" s="242">
        <f>O35*'Homes - Inputs'!$F$36</f>
        <v>1753.8407908671184</v>
      </c>
      <c r="R35" s="244"/>
      <c r="S35" s="239"/>
      <c r="U35" s="239"/>
      <c r="V35" s="239"/>
      <c r="W35" s="239"/>
      <c r="X35" s="228"/>
      <c r="Y35" s="228"/>
      <c r="Z35" s="228"/>
      <c r="AA35" s="250">
        <v>44926</v>
      </c>
      <c r="AB35" s="254">
        <f t="shared" si="12"/>
        <v>262000.92992725616</v>
      </c>
      <c r="AC35" s="254">
        <f t="shared" si="12"/>
        <v>2220.1057816098401</v>
      </c>
      <c r="AD35" s="273">
        <f t="shared" si="9"/>
        <v>170.83749426344119</v>
      </c>
      <c r="AE35" s="273">
        <f t="shared" si="10"/>
        <v>11.766560642532154</v>
      </c>
      <c r="AF35" s="274"/>
      <c r="AG35" s="239"/>
      <c r="AH35" s="239"/>
      <c r="AI35" s="239"/>
      <c r="AJ35" s="239"/>
      <c r="AK35" s="239"/>
      <c r="AL35" s="228"/>
      <c r="AM35" s="228"/>
    </row>
    <row r="36" spans="1:39" x14ac:dyDescent="0.3">
      <c r="K36" s="308">
        <f>SUM(K24:K35)</f>
        <v>10189036081.30102</v>
      </c>
      <c r="M36" s="249"/>
      <c r="N36" s="244"/>
      <c r="O36" s="244"/>
      <c r="P36" s="243">
        <f>SUM(P24:P35)</f>
        <v>444772.32215607353</v>
      </c>
      <c r="Q36" s="243">
        <f>SUM(Q24:Q35)</f>
        <v>19450.40051368847</v>
      </c>
      <c r="R36" s="309">
        <f>SUM(P36:Q36)</f>
        <v>464222.72266976198</v>
      </c>
      <c r="S36" s="239"/>
      <c r="U36" s="239"/>
      <c r="V36" s="239"/>
      <c r="W36" s="239"/>
      <c r="X36" s="228"/>
      <c r="Y36" s="228"/>
      <c r="Z36" s="228"/>
      <c r="AA36" s="269"/>
      <c r="AB36" s="244"/>
      <c r="AC36" s="244"/>
      <c r="AD36" s="275">
        <f>SUM(AD24:AD35)</f>
        <v>1476.6468055432906</v>
      </c>
      <c r="AE36" s="275">
        <f>SUM(AE24:AE35)</f>
        <v>130.49321144634848</v>
      </c>
      <c r="AF36" s="310">
        <f>SUM(AD36:AE36)</f>
        <v>1607.1400169896392</v>
      </c>
      <c r="AG36" s="239"/>
      <c r="AH36" s="239"/>
      <c r="AI36" s="239"/>
      <c r="AJ36" s="239"/>
      <c r="AK36" s="239"/>
      <c r="AL36" s="228"/>
      <c r="AM36" s="228"/>
    </row>
    <row r="37" spans="1:39" x14ac:dyDescent="0.3">
      <c r="K37" s="307">
        <f>(K20-K36)/K20</f>
        <v>0.5806120220085087</v>
      </c>
      <c r="M37" s="249"/>
      <c r="N37" s="244"/>
      <c r="O37" s="244"/>
      <c r="P37" s="244"/>
      <c r="Q37" s="244"/>
      <c r="R37" s="307">
        <f>(R20-R36)/R20</f>
        <v>2.7615864914651476E-2</v>
      </c>
      <c r="S37" s="239"/>
      <c r="U37" s="239"/>
      <c r="V37" s="239"/>
      <c r="W37" s="239"/>
      <c r="X37" s="228"/>
      <c r="Y37" s="228"/>
      <c r="Z37" s="228"/>
      <c r="AA37" s="269"/>
      <c r="AB37" s="244"/>
      <c r="AC37" s="244"/>
      <c r="AD37" s="274"/>
      <c r="AE37" s="274"/>
      <c r="AF37" s="307">
        <f>(AF20-AF36)/AF20</f>
        <v>0.2279049321130576</v>
      </c>
      <c r="AG37" s="239"/>
      <c r="AH37" s="239"/>
      <c r="AI37" s="239"/>
      <c r="AJ37" s="239"/>
      <c r="AK37" s="239"/>
      <c r="AL37" s="228"/>
      <c r="AM37" s="228"/>
    </row>
    <row r="38" spans="1:39" x14ac:dyDescent="0.3">
      <c r="A38" s="181" t="s">
        <v>336</v>
      </c>
      <c r="B38" s="172" t="s">
        <v>329</v>
      </c>
      <c r="I38" s="172" t="s">
        <v>307</v>
      </c>
      <c r="M38" s="249"/>
      <c r="N38" s="669" t="s">
        <v>337</v>
      </c>
      <c r="O38" s="670"/>
      <c r="P38" s="670"/>
      <c r="Q38" s="671"/>
      <c r="R38" s="239"/>
      <c r="S38" s="239"/>
      <c r="T38" s="239"/>
      <c r="U38" s="239"/>
      <c r="V38" s="239"/>
      <c r="W38" s="239"/>
      <c r="X38" s="228"/>
      <c r="Y38" s="228"/>
      <c r="Z38" s="228"/>
      <c r="AG38" s="239"/>
      <c r="AH38" s="239"/>
      <c r="AI38" s="239"/>
      <c r="AJ38" s="239"/>
      <c r="AK38" s="239"/>
      <c r="AL38" s="228"/>
      <c r="AM38" s="228"/>
    </row>
    <row r="39" spans="1:39" x14ac:dyDescent="0.3">
      <c r="B39" s="145" t="s">
        <v>331</v>
      </c>
      <c r="C39" s="145" t="s">
        <v>332</v>
      </c>
      <c r="D39" s="234" t="s">
        <v>312</v>
      </c>
      <c r="E39" s="234" t="s">
        <v>313</v>
      </c>
      <c r="F39" s="234" t="s">
        <v>333</v>
      </c>
      <c r="G39" s="234" t="s">
        <v>332</v>
      </c>
      <c r="H39" s="145"/>
      <c r="I39" s="234" t="s">
        <v>314</v>
      </c>
      <c r="J39" s="234" t="s">
        <v>315</v>
      </c>
      <c r="M39" s="251" t="s">
        <v>317</v>
      </c>
      <c r="N39" s="251" t="s">
        <v>334</v>
      </c>
      <c r="O39" s="251" t="s">
        <v>335</v>
      </c>
      <c r="P39" s="252" t="s">
        <v>320</v>
      </c>
      <c r="Q39" s="252" t="s">
        <v>321</v>
      </c>
      <c r="R39" s="239"/>
      <c r="S39" s="239"/>
      <c r="T39" s="32" t="s">
        <v>338</v>
      </c>
      <c r="U39" s="240" t="s">
        <v>339</v>
      </c>
      <c r="V39" s="239"/>
      <c r="W39" s="239"/>
      <c r="X39" s="228"/>
      <c r="Y39" s="228"/>
      <c r="Z39" s="228"/>
      <c r="AG39" s="239"/>
      <c r="AH39" s="239"/>
      <c r="AI39" s="239"/>
      <c r="AJ39" s="239"/>
      <c r="AK39" s="239"/>
      <c r="AL39" s="228"/>
      <c r="AM39" s="228"/>
    </row>
    <row r="40" spans="1:39" x14ac:dyDescent="0.3">
      <c r="A40" s="248">
        <v>44592</v>
      </c>
      <c r="B40" s="235">
        <v>3151074.32764677</v>
      </c>
      <c r="C40" s="235">
        <v>717225.317037181</v>
      </c>
      <c r="D40" s="235">
        <v>4037880.6179999998</v>
      </c>
      <c r="E40" s="235">
        <v>791550.54319999996</v>
      </c>
      <c r="F40" s="235">
        <v>4916931.1616588701</v>
      </c>
      <c r="G40" s="235">
        <v>915637.60841261595</v>
      </c>
      <c r="H40" s="145"/>
      <c r="I40" s="236">
        <f>I24-(U40*3.412*1000)</f>
        <v>908183236.10027003</v>
      </c>
      <c r="J40" s="236">
        <f>J24</f>
        <v>222246114.246566</v>
      </c>
      <c r="K40" s="233">
        <f>I40+J40</f>
        <v>1130429350.3468361</v>
      </c>
      <c r="L40" s="233"/>
      <c r="M40" s="250">
        <v>44592</v>
      </c>
      <c r="N40" s="259">
        <f t="shared" ref="N40:N51" si="13">(I40/1000/3.412)</f>
        <v>266173.28138929367</v>
      </c>
      <c r="O40" s="254">
        <f t="shared" ref="O40:O51" si="14">J40/1000/100</f>
        <v>2222.46114246566</v>
      </c>
      <c r="P40" s="241">
        <f>N40*'Homes - Inputs'!$F$35</f>
        <v>52276.432464857273</v>
      </c>
      <c r="Q40" s="241">
        <f>O40*'Homes - Inputs'!$F$36</f>
        <v>1755.7014805605406</v>
      </c>
      <c r="R40" s="244"/>
      <c r="S40" s="239"/>
      <c r="T40" s="257">
        <v>0.39473684210526316</v>
      </c>
      <c r="U40" s="254">
        <f t="shared" ref="U40:U45" si="15">($U$68/$T$68)*T40</f>
        <v>78611.815168648871</v>
      </c>
      <c r="V40" s="239"/>
      <c r="W40" s="239"/>
      <c r="X40" s="228"/>
      <c r="Y40" s="228"/>
      <c r="Z40" s="228"/>
      <c r="AG40" s="239"/>
      <c r="AH40" s="239"/>
      <c r="AI40" s="239"/>
      <c r="AJ40" s="239"/>
      <c r="AK40" s="239"/>
      <c r="AL40" s="228"/>
      <c r="AM40" s="228"/>
    </row>
    <row r="41" spans="1:39" x14ac:dyDescent="0.3">
      <c r="A41" s="248">
        <v>44620</v>
      </c>
      <c r="B41" s="235">
        <v>2406405.4801624999</v>
      </c>
      <c r="C41" s="235">
        <v>654566.51550761098</v>
      </c>
      <c r="D41" s="235">
        <v>3097487.4160000002</v>
      </c>
      <c r="E41" s="235">
        <v>722625.92330000002</v>
      </c>
      <c r="F41" s="235">
        <v>3811853.4189833198</v>
      </c>
      <c r="G41" s="235">
        <v>836217.76509037998</v>
      </c>
      <c r="H41" s="145"/>
      <c r="I41" s="236">
        <f t="shared" ref="I41:I51" si="16">I25-(U41*3.412*1000)</f>
        <v>678114691.6202383</v>
      </c>
      <c r="J41" s="236">
        <f t="shared" ref="J41:J51" si="17">J25</f>
        <v>200834112.52231899</v>
      </c>
      <c r="K41" s="233">
        <f t="shared" ref="K41:K51" si="18">I41+J41</f>
        <v>878948804.14255726</v>
      </c>
      <c r="L41" s="233"/>
      <c r="M41" s="250">
        <v>44620</v>
      </c>
      <c r="N41" s="259">
        <f t="shared" si="13"/>
        <v>198744.04795434888</v>
      </c>
      <c r="O41" s="254">
        <f t="shared" si="14"/>
        <v>2008.3411252231899</v>
      </c>
      <c r="P41" s="241">
        <f>N41*'Homes - Inputs'!$F$35</f>
        <v>39033.331018234116</v>
      </c>
      <c r="Q41" s="241">
        <f>O41*'Homes - Inputs'!$F$36</f>
        <v>1586.5507925655256</v>
      </c>
      <c r="R41" s="244"/>
      <c r="S41" s="239"/>
      <c r="T41" s="257">
        <v>0.51809210526315785</v>
      </c>
      <c r="U41" s="254">
        <f>($U$68/$T$68)*T41</f>
        <v>103178.00740885163</v>
      </c>
      <c r="V41" s="239"/>
      <c r="W41" s="239"/>
      <c r="X41" s="228"/>
      <c r="Y41" s="228"/>
      <c r="Z41" s="228"/>
      <c r="AG41" s="239"/>
      <c r="AH41" s="239"/>
      <c r="AI41" s="239"/>
      <c r="AJ41" s="239"/>
      <c r="AK41" s="239"/>
      <c r="AL41" s="228"/>
      <c r="AM41" s="228"/>
    </row>
    <row r="42" spans="1:39" x14ac:dyDescent="0.3">
      <c r="A42" s="248">
        <v>44651</v>
      </c>
      <c r="B42" s="235">
        <v>1881543.5299467</v>
      </c>
      <c r="C42" s="235">
        <v>715525.11965227895</v>
      </c>
      <c r="D42" s="235">
        <v>2432993.375</v>
      </c>
      <c r="E42" s="235">
        <v>789633.54960000003</v>
      </c>
      <c r="F42" s="235">
        <v>3032652.6646153899</v>
      </c>
      <c r="G42" s="235">
        <v>913277.59893045097</v>
      </c>
      <c r="H42" s="145"/>
      <c r="I42" s="236">
        <f t="shared" si="16"/>
        <v>94977362.67062968</v>
      </c>
      <c r="J42" s="236">
        <f t="shared" si="17"/>
        <v>222252057.610273</v>
      </c>
      <c r="K42" s="233">
        <f t="shared" si="18"/>
        <v>317229420.28090268</v>
      </c>
      <c r="L42" s="233"/>
      <c r="M42" s="250">
        <v>44651</v>
      </c>
      <c r="N42" s="259">
        <f t="shared" si="13"/>
        <v>27836.27276395946</v>
      </c>
      <c r="O42" s="254">
        <f t="shared" si="14"/>
        <v>2222.52057610273</v>
      </c>
      <c r="P42" s="241">
        <f>N42*'Homes - Inputs'!$F$35</f>
        <v>5467.0439708416379</v>
      </c>
      <c r="Q42" s="241">
        <f>O42*'Homes - Inputs'!$F$36</f>
        <v>1755.7484319886692</v>
      </c>
      <c r="R42" s="244"/>
      <c r="S42" s="239"/>
      <c r="T42" s="257">
        <v>0.74671052631578949</v>
      </c>
      <c r="U42" s="254">
        <f t="shared" si="15"/>
        <v>148707.35036069411</v>
      </c>
      <c r="V42" s="239"/>
      <c r="W42" s="239"/>
      <c r="X42" s="228"/>
      <c r="Y42" s="228"/>
      <c r="Z42" s="228"/>
      <c r="AG42" s="239"/>
      <c r="AH42" s="239"/>
      <c r="AI42" s="239"/>
      <c r="AJ42" s="239"/>
      <c r="AK42" s="239"/>
      <c r="AL42" s="228"/>
      <c r="AM42" s="228"/>
    </row>
    <row r="43" spans="1:39" x14ac:dyDescent="0.3">
      <c r="A43" s="248">
        <v>44681</v>
      </c>
      <c r="B43" s="235">
        <v>1353394.3729777201</v>
      </c>
      <c r="C43" s="235">
        <v>672986.34091721801</v>
      </c>
      <c r="D43" s="235">
        <v>1770977.067</v>
      </c>
      <c r="E43" s="235">
        <v>742059.82460000005</v>
      </c>
      <c r="F43" s="235">
        <v>2235468.6286014598</v>
      </c>
      <c r="G43" s="235">
        <v>857362.421648897</v>
      </c>
      <c r="H43" s="145"/>
      <c r="I43" s="236">
        <f t="shared" si="16"/>
        <v>-151772436.15430623</v>
      </c>
      <c r="J43" s="236">
        <f t="shared" si="17"/>
        <v>214826116.03511399</v>
      </c>
      <c r="K43" s="233">
        <f t="shared" si="18"/>
        <v>63053679.880807757</v>
      </c>
      <c r="L43" s="233"/>
      <c r="M43" s="250">
        <v>44681</v>
      </c>
      <c r="N43" s="259">
        <f>(I43/1000/3.412)</f>
        <v>-44481.956668905696</v>
      </c>
      <c r="O43" s="254">
        <f t="shared" si="14"/>
        <v>2148.26116035114</v>
      </c>
      <c r="P43" s="241">
        <f>N43*'Homes - Inputs'!$F$35</f>
        <v>-8736.2562897730786</v>
      </c>
      <c r="Q43" s="241">
        <f>O43*'Homes - Inputs'!$F$36</f>
        <v>1697.0849243621722</v>
      </c>
      <c r="R43" s="244"/>
      <c r="S43" s="239"/>
      <c r="T43" s="257">
        <v>0.83717105263157898</v>
      </c>
      <c r="U43" s="254">
        <f t="shared" si="15"/>
        <v>166722.55800350948</v>
      </c>
      <c r="V43" s="239"/>
      <c r="W43" s="239"/>
      <c r="X43" s="228"/>
      <c r="Y43" s="228"/>
      <c r="Z43" s="228"/>
      <c r="AG43" s="239"/>
      <c r="AH43" s="239"/>
      <c r="AI43" s="239"/>
      <c r="AJ43" s="239"/>
      <c r="AK43" s="239"/>
      <c r="AL43" s="228"/>
      <c r="AM43" s="228"/>
    </row>
    <row r="44" spans="1:39" x14ac:dyDescent="0.3">
      <c r="A44" s="248">
        <v>44712</v>
      </c>
      <c r="B44" s="235">
        <v>941381.32438888995</v>
      </c>
      <c r="C44" s="235">
        <v>664580.16893313895</v>
      </c>
      <c r="D44" s="235">
        <v>1215214.3689999999</v>
      </c>
      <c r="E44" s="235">
        <v>731835.97069999995</v>
      </c>
      <c r="F44" s="235">
        <v>1618651.2475529599</v>
      </c>
      <c r="G44" s="235">
        <v>844119.23023329</v>
      </c>
      <c r="H44" s="145"/>
      <c r="I44" s="236">
        <f t="shared" si="16"/>
        <v>-190285864.10766453</v>
      </c>
      <c r="J44" s="236">
        <f t="shared" si="17"/>
        <v>211832764.47197399</v>
      </c>
      <c r="K44" s="233">
        <f t="shared" si="18"/>
        <v>21546900.36430946</v>
      </c>
      <c r="L44" s="233"/>
      <c r="M44" s="250">
        <v>44712</v>
      </c>
      <c r="N44" s="259">
        <f t="shared" si="13"/>
        <v>-55769.596749022428</v>
      </c>
      <c r="O44" s="254">
        <f t="shared" si="14"/>
        <v>2118.32764471974</v>
      </c>
      <c r="P44" s="241">
        <f>N44*'Homes - Inputs'!$F$35</f>
        <v>-10953.148801508005</v>
      </c>
      <c r="Q44" s="241">
        <f>O44*'Homes - Inputs'!$F$36</f>
        <v>1673.4380237670393</v>
      </c>
      <c r="R44" s="244"/>
      <c r="S44" s="239"/>
      <c r="T44" s="257">
        <v>0.89473684210526316</v>
      </c>
      <c r="U44" s="254">
        <f t="shared" si="15"/>
        <v>178186.78104893744</v>
      </c>
      <c r="V44" s="239"/>
      <c r="W44" s="239"/>
      <c r="X44" s="228"/>
      <c r="Y44" s="228"/>
      <c r="Z44" s="228"/>
      <c r="AG44" s="239"/>
      <c r="AH44" s="239"/>
      <c r="AI44" s="239"/>
      <c r="AJ44" s="239"/>
      <c r="AK44" s="239"/>
      <c r="AL44" s="228"/>
      <c r="AM44" s="228"/>
    </row>
    <row r="45" spans="1:39" x14ac:dyDescent="0.3">
      <c r="A45" s="248">
        <v>44742</v>
      </c>
      <c r="B45" s="235">
        <v>1201726.48434841</v>
      </c>
      <c r="C45" s="235">
        <v>613594.67471255001</v>
      </c>
      <c r="D45" s="235">
        <v>1439507.6880000001</v>
      </c>
      <c r="E45" s="235">
        <v>674656.68500000006</v>
      </c>
      <c r="F45" s="235">
        <v>1922644.3386796501</v>
      </c>
      <c r="G45" s="235">
        <v>776552.26375981304</v>
      </c>
      <c r="H45" s="145"/>
      <c r="I45" s="236">
        <f t="shared" si="16"/>
        <v>-76812769.269695163</v>
      </c>
      <c r="J45" s="236">
        <f t="shared" si="17"/>
        <v>193184828.93471399</v>
      </c>
      <c r="K45" s="233">
        <f t="shared" si="18"/>
        <v>116372059.66501883</v>
      </c>
      <c r="L45" s="233"/>
      <c r="M45" s="250">
        <v>44742</v>
      </c>
      <c r="N45" s="259">
        <f t="shared" si="13"/>
        <v>-22512.534955948169</v>
      </c>
      <c r="O45" s="254">
        <f t="shared" si="14"/>
        <v>1931.8482893471401</v>
      </c>
      <c r="P45" s="241">
        <f>N45*'Homes - Inputs'!$F$35</f>
        <v>-4421.4618653482203</v>
      </c>
      <c r="Q45" s="241">
        <f>O45*'Homes - Inputs'!$F$36</f>
        <v>1526.1229260738485</v>
      </c>
      <c r="R45" s="244"/>
      <c r="S45" s="239"/>
      <c r="T45" s="257">
        <v>0.97697368421052633</v>
      </c>
      <c r="U45" s="254">
        <f t="shared" si="15"/>
        <v>194564.24254240596</v>
      </c>
      <c r="V45" s="239"/>
      <c r="W45" s="239"/>
      <c r="X45" s="228"/>
      <c r="Y45" s="228"/>
      <c r="Z45" s="228"/>
      <c r="AA45" s="281"/>
      <c r="AB45" s="260" t="s">
        <v>340</v>
      </c>
      <c r="AC45" s="261"/>
      <c r="AD45" s="261"/>
      <c r="AE45" s="262"/>
      <c r="AF45" s="239"/>
      <c r="AG45" s="239"/>
      <c r="AH45" s="239"/>
      <c r="AI45" s="239"/>
      <c r="AJ45" s="239"/>
      <c r="AK45" s="239"/>
      <c r="AL45" s="228"/>
      <c r="AM45" s="228"/>
    </row>
    <row r="46" spans="1:39" x14ac:dyDescent="0.3">
      <c r="A46" s="248">
        <v>44773</v>
      </c>
      <c r="B46" s="235">
        <v>1369201.8735173801</v>
      </c>
      <c r="C46" s="235">
        <v>612849.54872171895</v>
      </c>
      <c r="D46" s="235">
        <v>1604064.223</v>
      </c>
      <c r="E46" s="235">
        <v>673059.33970000001</v>
      </c>
      <c r="F46" s="235">
        <v>2142746.9683138598</v>
      </c>
      <c r="G46" s="235">
        <v>773356.470940492</v>
      </c>
      <c r="H46" s="145"/>
      <c r="I46" s="236">
        <f t="shared" si="16"/>
        <v>-62795972.941809177</v>
      </c>
      <c r="J46" s="236">
        <f t="shared" si="17"/>
        <v>192194484.40824401</v>
      </c>
      <c r="K46" s="233">
        <f t="shared" si="18"/>
        <v>129398511.46643484</v>
      </c>
      <c r="L46" s="233"/>
      <c r="M46" s="250">
        <v>44773</v>
      </c>
      <c r="N46" s="259">
        <f t="shared" si="13"/>
        <v>-18404.446934879594</v>
      </c>
      <c r="O46" s="254">
        <f t="shared" si="14"/>
        <v>1921.9448440824403</v>
      </c>
      <c r="P46" s="241">
        <f>N46*'Homes - Inputs'!$F$35</f>
        <v>-3614.6333780103519</v>
      </c>
      <c r="Q46" s="241">
        <f>O46*'Homes - Inputs'!$F$36</f>
        <v>1518.2993951325636</v>
      </c>
      <c r="R46" s="244"/>
      <c r="S46" s="239"/>
      <c r="T46" s="257">
        <v>1</v>
      </c>
      <c r="U46" s="254">
        <f>($U$68/$T$68)*T46</f>
        <v>199149.93176057714</v>
      </c>
      <c r="V46" s="239"/>
      <c r="W46" s="239"/>
      <c r="X46" s="228"/>
      <c r="Y46" s="228"/>
      <c r="Z46" s="228"/>
      <c r="AA46" s="251" t="s">
        <v>317</v>
      </c>
      <c r="AB46" s="251" t="s">
        <v>334</v>
      </c>
      <c r="AC46" s="251" t="s">
        <v>335</v>
      </c>
      <c r="AD46" s="252" t="s">
        <v>322</v>
      </c>
      <c r="AE46" s="252" t="s">
        <v>323</v>
      </c>
      <c r="AF46" s="239"/>
      <c r="AG46" s="239"/>
      <c r="AH46" s="239"/>
      <c r="AI46" s="239"/>
      <c r="AJ46" s="239"/>
      <c r="AK46" s="239"/>
      <c r="AL46" s="228"/>
      <c r="AM46" s="228"/>
    </row>
    <row r="47" spans="1:39" x14ac:dyDescent="0.3">
      <c r="A47" s="248">
        <v>44804</v>
      </c>
      <c r="B47" s="235">
        <v>1256788.7063815999</v>
      </c>
      <c r="C47" s="235">
        <v>605293.93212852196</v>
      </c>
      <c r="D47" s="235">
        <v>1471323.7139999999</v>
      </c>
      <c r="E47" s="235">
        <v>664436.70990000002</v>
      </c>
      <c r="F47" s="235">
        <v>2006122.2300203301</v>
      </c>
      <c r="G47" s="235">
        <v>763115.08567488904</v>
      </c>
      <c r="H47" s="145"/>
      <c r="I47" s="236">
        <f t="shared" si="16"/>
        <v>45586418.664467335</v>
      </c>
      <c r="J47" s="236">
        <f t="shared" si="17"/>
        <v>189652455.394618</v>
      </c>
      <c r="K47" s="233">
        <f t="shared" si="18"/>
        <v>235238874.05908534</v>
      </c>
      <c r="L47" s="233"/>
      <c r="M47" s="250">
        <v>44804</v>
      </c>
      <c r="N47" s="259">
        <f t="shared" si="13"/>
        <v>13360.615083372606</v>
      </c>
      <c r="O47" s="254">
        <f t="shared" si="14"/>
        <v>1896.52455394618</v>
      </c>
      <c r="P47" s="241">
        <f>N47*'Homes - Inputs'!$F$35</f>
        <v>2624.0248023743798</v>
      </c>
      <c r="Q47" s="241">
        <f>O47*'Homes - Inputs'!$F$36</f>
        <v>1498.2178557185623</v>
      </c>
      <c r="R47" s="244"/>
      <c r="S47" s="239"/>
      <c r="T47" s="257">
        <v>0.88486842105263153</v>
      </c>
      <c r="U47" s="254">
        <f t="shared" ref="U47:U51" si="19">($U$68/$T$68)*T47</f>
        <v>176221.48566972121</v>
      </c>
      <c r="V47" s="239"/>
      <c r="W47" s="239"/>
      <c r="X47" s="228"/>
      <c r="Y47" s="228"/>
      <c r="Z47" s="228"/>
      <c r="AA47" s="250">
        <v>44592</v>
      </c>
      <c r="AB47" s="259">
        <f>N56</f>
        <v>266173.28138929367</v>
      </c>
      <c r="AC47" s="254">
        <f t="shared" ref="AC47:AC58" si="20">O56</f>
        <v>2222.46114246566</v>
      </c>
      <c r="AD47" s="273">
        <f>N56*$AI$7*3.41</f>
        <v>173.45633873363977</v>
      </c>
      <c r="AE47" s="273">
        <f t="shared" ref="AE47:AE58" si="21">J56*$AI$8/1000</f>
        <v>11.779044055067997</v>
      </c>
      <c r="AF47" s="274"/>
      <c r="AG47" s="239"/>
      <c r="AH47" s="239"/>
      <c r="AI47" s="239"/>
      <c r="AJ47" s="239"/>
      <c r="AK47" s="239"/>
      <c r="AL47" s="228"/>
      <c r="AM47" s="228"/>
    </row>
    <row r="48" spans="1:39" x14ac:dyDescent="0.3">
      <c r="A48" s="248">
        <v>44834</v>
      </c>
      <c r="B48" s="235">
        <v>882459.92443377199</v>
      </c>
      <c r="C48" s="235">
        <v>593984.82890673506</v>
      </c>
      <c r="D48" s="235">
        <v>1118005.2080000001</v>
      </c>
      <c r="E48" s="235">
        <v>652446.49380000005</v>
      </c>
      <c r="F48" s="235">
        <v>1511290.6798340301</v>
      </c>
      <c r="G48" s="235">
        <v>749952.553675537</v>
      </c>
      <c r="H48" s="145"/>
      <c r="I48" s="236">
        <f t="shared" si="16"/>
        <v>-171218094.21283352</v>
      </c>
      <c r="J48" s="236">
        <f t="shared" si="17"/>
        <v>186375154.649519</v>
      </c>
      <c r="K48" s="233">
        <f t="shared" si="18"/>
        <v>15157060.436685473</v>
      </c>
      <c r="L48" s="233"/>
      <c r="M48" s="250">
        <v>44834</v>
      </c>
      <c r="N48" s="259">
        <f t="shared" si="13"/>
        <v>-50181.153051826943</v>
      </c>
      <c r="O48" s="254">
        <f t="shared" si="14"/>
        <v>1863.7515464951898</v>
      </c>
      <c r="P48" s="241">
        <f>N48*'Homes - Inputs'!$F$35</f>
        <v>-9855.5784593788103</v>
      </c>
      <c r="Q48" s="241">
        <f>O48*'Homes - Inputs'!$F$36</f>
        <v>1472.327811296778</v>
      </c>
      <c r="R48" s="244"/>
      <c r="S48" s="239"/>
      <c r="T48" s="257">
        <v>0.80427631578947367</v>
      </c>
      <c r="U48" s="254">
        <f t="shared" si="19"/>
        <v>160171.57340612207</v>
      </c>
      <c r="V48" s="239"/>
      <c r="W48" s="239"/>
      <c r="X48" s="228"/>
      <c r="Y48" s="228"/>
      <c r="Z48" s="228"/>
      <c r="AA48" s="250">
        <v>44620</v>
      </c>
      <c r="AB48" s="259">
        <f t="shared" ref="AB48:AB58" si="22">N57</f>
        <v>198744.04795434888</v>
      </c>
      <c r="AC48" s="254">
        <f t="shared" si="20"/>
        <v>2008.3411252231899</v>
      </c>
      <c r="AD48" s="273">
        <f t="shared" ref="AD48:AD58" si="23">N57*$AI$7*3.41</f>
        <v>129.51493374289865</v>
      </c>
      <c r="AE48" s="273">
        <f t="shared" si="21"/>
        <v>10.644207963682906</v>
      </c>
      <c r="AF48" s="274"/>
      <c r="AG48" s="239"/>
      <c r="AH48" s="239"/>
      <c r="AI48" s="239"/>
      <c r="AJ48" s="239"/>
      <c r="AK48" s="239"/>
      <c r="AL48" s="228"/>
      <c r="AM48" s="228"/>
    </row>
    <row r="49" spans="1:39" x14ac:dyDescent="0.3">
      <c r="A49" s="248">
        <v>44865</v>
      </c>
      <c r="B49" s="235">
        <v>1099919.2867063</v>
      </c>
      <c r="C49" s="235">
        <v>636459.44383392099</v>
      </c>
      <c r="D49" s="235">
        <v>1476126.973</v>
      </c>
      <c r="E49" s="235">
        <v>699819.7733</v>
      </c>
      <c r="F49" s="235">
        <v>1901209.1224102499</v>
      </c>
      <c r="G49" s="235">
        <v>805996.65438656404</v>
      </c>
      <c r="H49" s="145"/>
      <c r="I49" s="236">
        <f t="shared" si="16"/>
        <v>44491240.206292927</v>
      </c>
      <c r="J49" s="236">
        <f t="shared" si="17"/>
        <v>200464994.660714</v>
      </c>
      <c r="K49" s="233">
        <f t="shared" si="18"/>
        <v>244956234.86700693</v>
      </c>
      <c r="L49" s="233"/>
      <c r="M49" s="250">
        <v>44865</v>
      </c>
      <c r="N49" s="259">
        <f t="shared" si="13"/>
        <v>13039.636637248806</v>
      </c>
      <c r="O49" s="254">
        <f t="shared" si="14"/>
        <v>2004.64994660714</v>
      </c>
      <c r="P49" s="241">
        <f>N49*'Homes - Inputs'!$F$35</f>
        <v>2560.9846355556656</v>
      </c>
      <c r="Q49" s="241">
        <f>O49*'Homes - Inputs'!$F$36</f>
        <v>1583.6348325798215</v>
      </c>
      <c r="R49" s="244"/>
      <c r="S49" s="239"/>
      <c r="T49" s="257">
        <v>0.58223684210526316</v>
      </c>
      <c r="U49" s="254">
        <f>($U$68/$T$68)*T49</f>
        <v>115952.42737375708</v>
      </c>
      <c r="V49" s="239"/>
      <c r="W49" s="239"/>
      <c r="X49" s="228"/>
      <c r="Y49" s="228"/>
      <c r="Z49" s="228"/>
      <c r="AA49" s="250">
        <v>44651</v>
      </c>
      <c r="AB49" s="259">
        <f t="shared" si="22"/>
        <v>27836.27276395946</v>
      </c>
      <c r="AC49" s="254">
        <f t="shared" si="20"/>
        <v>2222.52057610273</v>
      </c>
      <c r="AD49" s="273">
        <f t="shared" si="23"/>
        <v>18.139979837290895</v>
      </c>
      <c r="AE49" s="273">
        <f t="shared" si="21"/>
        <v>11.77935905334447</v>
      </c>
      <c r="AF49" s="274"/>
      <c r="AG49" s="239"/>
      <c r="AH49" s="239"/>
      <c r="AI49" s="239"/>
      <c r="AJ49" s="239"/>
      <c r="AK49" s="239"/>
      <c r="AL49" s="228"/>
      <c r="AM49" s="228"/>
    </row>
    <row r="50" spans="1:39" x14ac:dyDescent="0.3">
      <c r="A50" s="248">
        <v>44895</v>
      </c>
      <c r="B50" s="235">
        <v>1684217.4861351899</v>
      </c>
      <c r="C50" s="235">
        <v>646171.95433787897</v>
      </c>
      <c r="D50" s="235">
        <v>2170239.787</v>
      </c>
      <c r="E50" s="235">
        <v>711505.196</v>
      </c>
      <c r="F50" s="235">
        <v>2702072.3747685598</v>
      </c>
      <c r="G50" s="235">
        <v>820973.703693302</v>
      </c>
      <c r="H50" s="145"/>
      <c r="I50" s="236">
        <f t="shared" si="16"/>
        <v>213667811.05724627</v>
      </c>
      <c r="J50" s="236">
        <f t="shared" si="17"/>
        <v>206262403.93040401</v>
      </c>
      <c r="K50" s="233">
        <f t="shared" si="18"/>
        <v>419930214.98765028</v>
      </c>
      <c r="L50" s="233"/>
      <c r="M50" s="250">
        <v>44895</v>
      </c>
      <c r="N50" s="259">
        <f t="shared" si="13"/>
        <v>62622.453416543452</v>
      </c>
      <c r="O50" s="254">
        <f t="shared" si="14"/>
        <v>2062.6240393040403</v>
      </c>
      <c r="P50" s="241">
        <f>N50*'Homes - Inputs'!$F$35</f>
        <v>12299.049851009133</v>
      </c>
      <c r="Q50" s="241">
        <f>O50*'Homes - Inputs'!$F$36</f>
        <v>1629.4332487758313</v>
      </c>
      <c r="R50" s="244"/>
      <c r="T50" s="257">
        <v>0.45559210526315791</v>
      </c>
      <c r="U50" s="254">
        <f t="shared" si="19"/>
        <v>90731.136673815578</v>
      </c>
      <c r="V50" s="239"/>
      <c r="W50" s="239"/>
      <c r="X50" s="228"/>
      <c r="Y50" s="228"/>
      <c r="Z50" s="228"/>
      <c r="AA50" s="250">
        <v>44681</v>
      </c>
      <c r="AB50" s="259">
        <f t="shared" si="22"/>
        <v>-44481.956668905696</v>
      </c>
      <c r="AC50" s="254">
        <f>O59</f>
        <v>2148.26116035114</v>
      </c>
      <c r="AD50" s="273">
        <f t="shared" si="23"/>
        <v>-28.987422416046982</v>
      </c>
      <c r="AE50" s="273">
        <f t="shared" si="21"/>
        <v>11.385784149861042</v>
      </c>
      <c r="AF50" s="274"/>
      <c r="AG50" s="239"/>
      <c r="AH50" s="239"/>
      <c r="AI50" s="239"/>
      <c r="AJ50" s="239"/>
      <c r="AK50" s="239"/>
      <c r="AL50" s="228"/>
      <c r="AM50" s="228"/>
    </row>
    <row r="51" spans="1:39" x14ac:dyDescent="0.3">
      <c r="A51" s="248">
        <v>44926</v>
      </c>
      <c r="B51" s="235">
        <v>2493203.8098081299</v>
      </c>
      <c r="C51" s="235">
        <v>697314.51532469201</v>
      </c>
      <c r="D51" s="235">
        <v>3183654.7420000001</v>
      </c>
      <c r="E51" s="235">
        <v>768923.24309999996</v>
      </c>
      <c r="F51" s="235">
        <v>3898154.3487265902</v>
      </c>
      <c r="G51" s="235">
        <v>888440.83562615898</v>
      </c>
      <c r="H51" s="145"/>
      <c r="I51" s="236">
        <f t="shared" si="16"/>
        <v>662604392.64273965</v>
      </c>
      <c r="J51" s="236">
        <f t="shared" si="17"/>
        <v>222010578.16098401</v>
      </c>
      <c r="K51" s="233">
        <f t="shared" si="18"/>
        <v>884614970.80372369</v>
      </c>
      <c r="L51" s="233"/>
      <c r="M51" s="250">
        <v>44926</v>
      </c>
      <c r="N51" s="259">
        <f t="shared" si="13"/>
        <v>194198.23934429651</v>
      </c>
      <c r="O51" s="254">
        <f t="shared" si="14"/>
        <v>2220.1057816098401</v>
      </c>
      <c r="P51" s="241">
        <f>N51*'Homes - Inputs'!$F$35</f>
        <v>38140.534207219833</v>
      </c>
      <c r="Q51" s="242">
        <f>O51*'Homes - Inputs'!$F$36</f>
        <v>1753.8407908671184</v>
      </c>
      <c r="R51" s="244"/>
      <c r="T51" s="257">
        <v>0.34046052631578949</v>
      </c>
      <c r="U51" s="254">
        <f t="shared" si="19"/>
        <v>67802.690582959651</v>
      </c>
      <c r="V51" s="239"/>
      <c r="W51" s="239"/>
      <c r="X51" s="228"/>
      <c r="Y51" s="228"/>
      <c r="Z51" s="228"/>
      <c r="AA51" s="250">
        <v>44712</v>
      </c>
      <c r="AB51" s="259">
        <f t="shared" si="22"/>
        <v>-55769.596749022428</v>
      </c>
      <c r="AC51" s="254">
        <f t="shared" si="20"/>
        <v>2118.32764471974</v>
      </c>
      <c r="AD51" s="273">
        <f t="shared" si="23"/>
        <v>-36.343204750850816</v>
      </c>
      <c r="AE51" s="273">
        <f t="shared" si="21"/>
        <v>11.227136517014621</v>
      </c>
      <c r="AF51" s="274"/>
      <c r="AG51" s="239"/>
      <c r="AH51" s="239"/>
      <c r="AI51" s="239"/>
      <c r="AJ51" s="239"/>
      <c r="AK51" s="239"/>
      <c r="AL51" s="228"/>
      <c r="AM51" s="228"/>
    </row>
    <row r="52" spans="1:39" x14ac:dyDescent="0.3">
      <c r="A52" s="172"/>
      <c r="K52" s="308">
        <f>SUM(K40:K51)</f>
        <v>4456876081.3010187</v>
      </c>
      <c r="M52" s="249"/>
      <c r="N52" s="244"/>
      <c r="O52" s="244"/>
      <c r="P52" s="243">
        <f>SUM(P40:P51)</f>
        <v>114820.32215607355</v>
      </c>
      <c r="Q52" s="243">
        <f>SUM(Q40:Q51)</f>
        <v>19450.40051368847</v>
      </c>
      <c r="R52" s="309">
        <f>SUM(P52:Q52)</f>
        <v>134270.72266976204</v>
      </c>
      <c r="S52" s="278"/>
      <c r="T52" s="282">
        <f>SUM(T40:T51)</f>
        <v>8.4358552631578938</v>
      </c>
      <c r="U52" s="283">
        <v>1680000</v>
      </c>
      <c r="V52" s="239"/>
      <c r="W52" s="239"/>
      <c r="X52" s="228"/>
      <c r="Y52" s="228"/>
      <c r="Z52" s="228"/>
      <c r="AA52" s="250">
        <v>44742</v>
      </c>
      <c r="AB52" s="259">
        <f t="shared" si="22"/>
        <v>-22512.534955948169</v>
      </c>
      <c r="AC52" s="254">
        <f t="shared" si="20"/>
        <v>1931.8482893471401</v>
      </c>
      <c r="AD52" s="273">
        <f t="shared" si="23"/>
        <v>-14.670675691752287</v>
      </c>
      <c r="AE52" s="273">
        <f t="shared" si="21"/>
        <v>10.238795933539841</v>
      </c>
      <c r="AF52" s="274"/>
      <c r="AG52" s="239"/>
      <c r="AH52" s="239"/>
      <c r="AI52" s="239"/>
      <c r="AJ52" s="239"/>
      <c r="AK52" s="239"/>
      <c r="AL52" s="228"/>
      <c r="AM52" s="228"/>
    </row>
    <row r="53" spans="1:39" x14ac:dyDescent="0.3">
      <c r="A53" s="172"/>
      <c r="K53" s="307">
        <f>(K20-K52)/K20</f>
        <v>0.81655180794523152</v>
      </c>
      <c r="M53" s="249"/>
      <c r="N53" s="244"/>
      <c r="O53" s="244"/>
      <c r="P53" s="279"/>
      <c r="Q53" s="280"/>
      <c r="R53" s="307">
        <f>(R20-R52)/R20</f>
        <v>0.71874982814358968</v>
      </c>
      <c r="S53" s="278"/>
      <c r="T53" s="255"/>
      <c r="U53" s="256"/>
      <c r="V53" s="239"/>
      <c r="W53" s="239"/>
      <c r="X53" s="228"/>
      <c r="Y53" s="228"/>
      <c r="Z53" s="228"/>
      <c r="AA53" s="250">
        <v>44773</v>
      </c>
      <c r="AB53" s="259">
        <f t="shared" si="22"/>
        <v>-18404.446934879594</v>
      </c>
      <c r="AC53" s="254">
        <f t="shared" si="20"/>
        <v>1921.9448440824403</v>
      </c>
      <c r="AD53" s="273">
        <f t="shared" si="23"/>
        <v>-11.993570372950964</v>
      </c>
      <c r="AE53" s="273">
        <f t="shared" si="21"/>
        <v>10.186307673636932</v>
      </c>
      <c r="AF53" s="274"/>
      <c r="AG53" s="239"/>
      <c r="AH53" s="239"/>
      <c r="AI53" s="239"/>
      <c r="AJ53" s="239"/>
      <c r="AK53" s="239"/>
      <c r="AL53" s="228"/>
      <c r="AM53" s="228"/>
    </row>
    <row r="54" spans="1:39" x14ac:dyDescent="0.3">
      <c r="A54" s="181" t="s">
        <v>336</v>
      </c>
      <c r="B54" s="172" t="s">
        <v>329</v>
      </c>
      <c r="I54" s="172" t="s">
        <v>307</v>
      </c>
      <c r="M54" s="249"/>
      <c r="N54" s="669" t="s">
        <v>341</v>
      </c>
      <c r="O54" s="670"/>
      <c r="P54" s="670"/>
      <c r="Q54" s="671"/>
      <c r="R54" s="239"/>
      <c r="S54" s="239"/>
      <c r="T54" s="239"/>
      <c r="U54" s="239"/>
      <c r="V54" s="239"/>
      <c r="W54" s="239"/>
      <c r="X54" s="228"/>
      <c r="Y54" s="228"/>
      <c r="Z54" s="228"/>
      <c r="AA54" s="250">
        <v>44804</v>
      </c>
      <c r="AB54" s="259">
        <f t="shared" si="22"/>
        <v>13360.615083372606</v>
      </c>
      <c r="AC54" s="254">
        <f t="shared" si="20"/>
        <v>1896.52455394618</v>
      </c>
      <c r="AD54" s="273">
        <f t="shared" si="23"/>
        <v>8.706671697080683</v>
      </c>
      <c r="AE54" s="273">
        <f t="shared" si="21"/>
        <v>10.051580135914753</v>
      </c>
      <c r="AF54" s="274"/>
      <c r="AG54" s="239"/>
      <c r="AH54" s="239"/>
      <c r="AI54" s="239"/>
      <c r="AJ54" s="239"/>
      <c r="AK54" s="239"/>
      <c r="AL54" s="228"/>
      <c r="AM54" s="228"/>
    </row>
    <row r="55" spans="1:39" x14ac:dyDescent="0.3">
      <c r="B55" s="145" t="s">
        <v>331</v>
      </c>
      <c r="C55" s="145" t="s">
        <v>332</v>
      </c>
      <c r="D55" s="234" t="s">
        <v>312</v>
      </c>
      <c r="E55" s="234" t="s">
        <v>313</v>
      </c>
      <c r="F55" s="234" t="s">
        <v>333</v>
      </c>
      <c r="G55" s="234" t="s">
        <v>332</v>
      </c>
      <c r="H55" s="145"/>
      <c r="I55" s="234" t="s">
        <v>314</v>
      </c>
      <c r="J55" s="234" t="s">
        <v>315</v>
      </c>
      <c r="M55" s="251" t="s">
        <v>317</v>
      </c>
      <c r="N55" s="251" t="s">
        <v>334</v>
      </c>
      <c r="O55" s="251" t="s">
        <v>335</v>
      </c>
      <c r="P55" s="252" t="s">
        <v>320</v>
      </c>
      <c r="Q55" s="252" t="s">
        <v>321</v>
      </c>
      <c r="R55" s="239"/>
      <c r="S55" s="239"/>
      <c r="T55" s="32" t="s">
        <v>338</v>
      </c>
      <c r="U55" s="240" t="s">
        <v>339</v>
      </c>
      <c r="V55" s="239"/>
      <c r="W55" s="239"/>
      <c r="X55" s="228"/>
      <c r="Y55" s="228"/>
      <c r="Z55" s="228"/>
      <c r="AA55" s="250">
        <v>44834</v>
      </c>
      <c r="AB55" s="259">
        <f t="shared" si="22"/>
        <v>-50181.153051826943</v>
      </c>
      <c r="AC55" s="254">
        <f t="shared" si="20"/>
        <v>1863.7515464951898</v>
      </c>
      <c r="AD55" s="273">
        <f t="shared" si="23"/>
        <v>-32.701400517626958</v>
      </c>
      <c r="AE55" s="273">
        <f t="shared" si="21"/>
        <v>9.8778831964245075</v>
      </c>
      <c r="AF55" s="274"/>
      <c r="AG55" s="239"/>
      <c r="AJ55" s="239"/>
      <c r="AK55" s="239"/>
      <c r="AL55" s="228"/>
      <c r="AM55" s="228"/>
    </row>
    <row r="56" spans="1:39" x14ac:dyDescent="0.3">
      <c r="A56" s="248">
        <v>44592</v>
      </c>
      <c r="B56" s="235">
        <v>3151074.32764677</v>
      </c>
      <c r="C56" s="235">
        <v>717225.317037181</v>
      </c>
      <c r="D56" s="235">
        <v>4037880.6179999998</v>
      </c>
      <c r="E56" s="235">
        <v>791550.54319999996</v>
      </c>
      <c r="F56" s="235">
        <v>4916931.1616588701</v>
      </c>
      <c r="G56" s="235">
        <v>915637.60841261595</v>
      </c>
      <c r="H56" s="145"/>
      <c r="I56" s="236">
        <f>I40</f>
        <v>908183236.10027003</v>
      </c>
      <c r="J56" s="236">
        <f>J24</f>
        <v>222246114.246566</v>
      </c>
      <c r="K56" s="233">
        <f>I56+J56</f>
        <v>1130429350.3468361</v>
      </c>
      <c r="L56" s="233"/>
      <c r="M56" s="250">
        <v>44592</v>
      </c>
      <c r="N56" s="259">
        <f>(I56/1000/3.412)</f>
        <v>266173.28138929367</v>
      </c>
      <c r="O56" s="254">
        <f>J56/1000/100</f>
        <v>2222.46114246566</v>
      </c>
      <c r="P56" s="241">
        <f>IF(N56&lt;0,N56*'Homes - Inputs'!$H$35,N56*'Homes - Inputs'!$F$35)</f>
        <v>52276.432464857273</v>
      </c>
      <c r="Q56" s="241">
        <f>O56*'Homes - Inputs'!$F$36</f>
        <v>1755.7014805605406</v>
      </c>
      <c r="R56" s="244"/>
      <c r="S56" s="239"/>
      <c r="T56" s="257">
        <v>0.39473684210526316</v>
      </c>
      <c r="U56" s="254">
        <f t="shared" ref="U56:U67" si="24">($U$68/$T$68)*T56</f>
        <v>78611.815168648871</v>
      </c>
      <c r="V56" s="239"/>
      <c r="W56" s="239"/>
      <c r="X56" s="228"/>
      <c r="Y56" s="228"/>
      <c r="Z56" s="228"/>
      <c r="AA56" s="250">
        <v>44865</v>
      </c>
      <c r="AB56" s="259">
        <f t="shared" si="22"/>
        <v>13039.636637248806</v>
      </c>
      <c r="AC56" s="254">
        <f t="shared" si="20"/>
        <v>2004.64994660714</v>
      </c>
      <c r="AD56" s="273">
        <f t="shared" si="23"/>
        <v>8.4975006420955719</v>
      </c>
      <c r="AE56" s="273">
        <f t="shared" si="21"/>
        <v>10.624644717017842</v>
      </c>
      <c r="AF56" s="274"/>
      <c r="AG56" s="239"/>
      <c r="AJ56" s="239"/>
      <c r="AK56" s="239"/>
      <c r="AL56" s="228"/>
      <c r="AM56" s="228"/>
    </row>
    <row r="57" spans="1:39" x14ac:dyDescent="0.3">
      <c r="A57" s="248">
        <v>44620</v>
      </c>
      <c r="B57" s="235">
        <v>2406405.4801624999</v>
      </c>
      <c r="C57" s="235">
        <v>654566.51550761098</v>
      </c>
      <c r="D57" s="235">
        <v>3097487.4160000002</v>
      </c>
      <c r="E57" s="235">
        <v>722625.92330000002</v>
      </c>
      <c r="F57" s="235">
        <v>3811853.4189833198</v>
      </c>
      <c r="G57" s="235">
        <v>836217.76509037998</v>
      </c>
      <c r="H57" s="145"/>
      <c r="I57" s="236">
        <f t="shared" ref="I57:I67" si="25">I41</f>
        <v>678114691.6202383</v>
      </c>
      <c r="J57" s="236">
        <f t="shared" ref="J57:J67" si="26">J25</f>
        <v>200834112.52231899</v>
      </c>
      <c r="K57" s="233">
        <f t="shared" ref="K57:K67" si="27">I57+J57</f>
        <v>878948804.14255726</v>
      </c>
      <c r="L57" s="233"/>
      <c r="M57" s="250">
        <v>44620</v>
      </c>
      <c r="N57" s="259">
        <f t="shared" ref="N57:N67" si="28">(I57/1000/3.412)</f>
        <v>198744.04795434888</v>
      </c>
      <c r="O57" s="254">
        <f t="shared" ref="O57:O67" si="29">J57/1000/100</f>
        <v>2008.3411252231899</v>
      </c>
      <c r="P57" s="241">
        <f>IF(N57&lt;0,N57*'Homes - Inputs'!$H$35,N57*'Homes - Inputs'!$F$35)</f>
        <v>39033.331018234116</v>
      </c>
      <c r="Q57" s="241">
        <f>O57*'Homes - Inputs'!$F$36</f>
        <v>1586.5507925655256</v>
      </c>
      <c r="R57" s="244"/>
      <c r="S57" s="239"/>
      <c r="T57" s="257">
        <v>0.51809210526315785</v>
      </c>
      <c r="U57" s="254">
        <f t="shared" si="24"/>
        <v>103178.00740885163</v>
      </c>
      <c r="V57" s="239"/>
      <c r="W57" s="239"/>
      <c r="X57" s="228"/>
      <c r="Y57" s="228"/>
      <c r="Z57" s="228"/>
      <c r="AA57" s="250">
        <v>44895</v>
      </c>
      <c r="AB57" s="259">
        <f t="shared" si="22"/>
        <v>62622.453416543452</v>
      </c>
      <c r="AC57" s="254">
        <f t="shared" si="20"/>
        <v>2062.6240393040403</v>
      </c>
      <c r="AD57" s="273">
        <f t="shared" si="23"/>
        <v>40.808985167316095</v>
      </c>
      <c r="AE57" s="273">
        <f t="shared" si="21"/>
        <v>10.931907408311412</v>
      </c>
      <c r="AF57" s="274"/>
      <c r="AG57" s="239"/>
      <c r="AJ57" s="239"/>
      <c r="AK57" s="239"/>
      <c r="AL57" s="228"/>
      <c r="AM57" s="228"/>
    </row>
    <row r="58" spans="1:39" x14ac:dyDescent="0.3">
      <c r="A58" s="248">
        <v>44651</v>
      </c>
      <c r="B58" s="235">
        <v>1881543.5299467</v>
      </c>
      <c r="C58" s="235">
        <v>715525.11965227895</v>
      </c>
      <c r="D58" s="235">
        <v>2432993.375</v>
      </c>
      <c r="E58" s="235">
        <v>789633.54960000003</v>
      </c>
      <c r="F58" s="235">
        <v>3032652.6646153899</v>
      </c>
      <c r="G58" s="235">
        <v>913277.59893045097</v>
      </c>
      <c r="H58" s="145"/>
      <c r="I58" s="236">
        <f t="shared" si="25"/>
        <v>94977362.67062968</v>
      </c>
      <c r="J58" s="236">
        <f t="shared" si="26"/>
        <v>222252057.610273</v>
      </c>
      <c r="K58" s="233">
        <f t="shared" si="27"/>
        <v>317229420.28090268</v>
      </c>
      <c r="L58" s="233"/>
      <c r="M58" s="250">
        <v>44651</v>
      </c>
      <c r="N58" s="259">
        <f t="shared" si="28"/>
        <v>27836.27276395946</v>
      </c>
      <c r="O58" s="254">
        <f t="shared" si="29"/>
        <v>2222.52057610273</v>
      </c>
      <c r="P58" s="241">
        <f>IF(N58&lt;0,N58*'Homes - Inputs'!$H$35,N58*'Homes - Inputs'!$F$35)</f>
        <v>5467.0439708416379</v>
      </c>
      <c r="Q58" s="241">
        <f>O58*'Homes - Inputs'!$F$36</f>
        <v>1755.7484319886692</v>
      </c>
      <c r="R58" s="244"/>
      <c r="S58" s="239"/>
      <c r="T58" s="257">
        <v>0.74671052631578949</v>
      </c>
      <c r="U58" s="254">
        <f t="shared" si="24"/>
        <v>148707.35036069411</v>
      </c>
      <c r="V58" s="239"/>
      <c r="W58" s="239"/>
      <c r="X58" s="228"/>
      <c r="Y58" s="228"/>
      <c r="Z58" s="228"/>
      <c r="AA58" s="250">
        <v>44926</v>
      </c>
      <c r="AB58" s="259">
        <f t="shared" si="22"/>
        <v>194198.23934429651</v>
      </c>
      <c r="AC58" s="254">
        <f t="shared" si="20"/>
        <v>2220.1057816098401</v>
      </c>
      <c r="AD58" s="273">
        <f t="shared" si="23"/>
        <v>126.55258036930695</v>
      </c>
      <c r="AE58" s="273">
        <f t="shared" si="21"/>
        <v>11.766560642532154</v>
      </c>
      <c r="AF58" s="274"/>
      <c r="AG58" s="239"/>
      <c r="AJ58" s="239"/>
      <c r="AK58" s="239"/>
      <c r="AL58" s="228"/>
      <c r="AM58" s="228"/>
    </row>
    <row r="59" spans="1:39" x14ac:dyDescent="0.3">
      <c r="A59" s="248">
        <v>44681</v>
      </c>
      <c r="B59" s="235">
        <v>1353394.3729777201</v>
      </c>
      <c r="C59" s="235">
        <v>672986.34091721801</v>
      </c>
      <c r="D59" s="235">
        <v>1770977.067</v>
      </c>
      <c r="E59" s="235">
        <v>742059.82460000005</v>
      </c>
      <c r="F59" s="235">
        <v>2235468.6286014598</v>
      </c>
      <c r="G59" s="235">
        <v>857362.421648897</v>
      </c>
      <c r="H59" s="145"/>
      <c r="I59" s="236">
        <f t="shared" si="25"/>
        <v>-151772436.15430623</v>
      </c>
      <c r="J59" s="236">
        <f t="shared" si="26"/>
        <v>214826116.03511399</v>
      </c>
      <c r="K59" s="233">
        <f t="shared" si="27"/>
        <v>63053679.880807757</v>
      </c>
      <c r="L59" s="233"/>
      <c r="M59" s="250">
        <v>44681</v>
      </c>
      <c r="N59" s="259">
        <f t="shared" si="28"/>
        <v>-44481.956668905696</v>
      </c>
      <c r="O59" s="254">
        <f t="shared" si="29"/>
        <v>2148.26116035114</v>
      </c>
      <c r="P59" s="241">
        <f>IF(N59&lt;0,N59*'Homes - Inputs'!$H$35,N59*'Homes - Inputs'!$F$35)</f>
        <v>-3901.0675998630295</v>
      </c>
      <c r="Q59" s="241">
        <f>O59*'Homes - Inputs'!$F$36</f>
        <v>1697.0849243621722</v>
      </c>
      <c r="R59" s="244"/>
      <c r="S59" s="239"/>
      <c r="T59" s="257">
        <v>0.83717105263157898</v>
      </c>
      <c r="U59" s="254">
        <f t="shared" si="24"/>
        <v>166722.55800350948</v>
      </c>
      <c r="V59" s="239"/>
      <c r="W59" s="239"/>
      <c r="X59" s="228"/>
      <c r="Y59" s="228"/>
      <c r="Z59" s="228"/>
      <c r="AA59" s="269"/>
      <c r="AB59" s="244"/>
      <c r="AC59" s="244"/>
      <c r="AD59" s="275">
        <f>SUM(AD47:AD58)</f>
        <v>380.98071644040056</v>
      </c>
      <c r="AE59" s="275">
        <f>SUM(AE47:AE58)</f>
        <v>130.49321144634848</v>
      </c>
      <c r="AF59" s="310">
        <f>SUM(AD59:AE59)</f>
        <v>511.47392788674904</v>
      </c>
      <c r="AG59" s="239"/>
      <c r="AJ59" s="239"/>
      <c r="AK59" s="239"/>
      <c r="AL59" s="228"/>
      <c r="AM59" s="228"/>
    </row>
    <row r="60" spans="1:39" x14ac:dyDescent="0.3">
      <c r="A60" s="248">
        <v>44712</v>
      </c>
      <c r="B60" s="235">
        <v>941381.32438888995</v>
      </c>
      <c r="C60" s="235">
        <v>664580.16893313895</v>
      </c>
      <c r="D60" s="235">
        <v>1215214.3689999999</v>
      </c>
      <c r="E60" s="235">
        <v>731835.97069999995</v>
      </c>
      <c r="F60" s="235">
        <v>1618651.2475529599</v>
      </c>
      <c r="G60" s="235">
        <v>844119.23023329</v>
      </c>
      <c r="H60" s="145"/>
      <c r="I60" s="236">
        <f t="shared" si="25"/>
        <v>-190285864.10766453</v>
      </c>
      <c r="J60" s="236">
        <f t="shared" si="26"/>
        <v>211832764.47197399</v>
      </c>
      <c r="K60" s="233">
        <f t="shared" si="27"/>
        <v>21546900.36430946</v>
      </c>
      <c r="L60" s="233"/>
      <c r="M60" s="250">
        <v>44712</v>
      </c>
      <c r="N60" s="259">
        <f t="shared" si="28"/>
        <v>-55769.596749022428</v>
      </c>
      <c r="O60" s="254">
        <f t="shared" si="29"/>
        <v>2118.32764471974</v>
      </c>
      <c r="P60" s="241">
        <f>IF(N60&lt;0,N60*'Homes - Inputs'!$H$35,N60*'Homes - Inputs'!$F$35)</f>
        <v>-4890.993634889267</v>
      </c>
      <c r="Q60" s="241">
        <f>O60*'Homes - Inputs'!$F$36</f>
        <v>1673.4380237670393</v>
      </c>
      <c r="R60" s="244"/>
      <c r="S60" s="239"/>
      <c r="T60" s="257">
        <v>0.89473684210526316</v>
      </c>
      <c r="U60" s="254">
        <f t="shared" si="24"/>
        <v>178186.78104893744</v>
      </c>
      <c r="V60" s="239"/>
      <c r="W60" s="239"/>
      <c r="X60" s="228"/>
      <c r="Y60" s="228"/>
      <c r="Z60" s="228"/>
      <c r="AF60" s="307">
        <f>(AF20-AF59)/AF20</f>
        <v>0.7542799675825218</v>
      </c>
      <c r="AG60" s="239"/>
      <c r="AJ60" s="239"/>
      <c r="AK60" s="239"/>
      <c r="AL60" s="228"/>
      <c r="AM60" s="228"/>
    </row>
    <row r="61" spans="1:39" x14ac:dyDescent="0.3">
      <c r="A61" s="248">
        <v>44742</v>
      </c>
      <c r="B61" s="235">
        <v>1201726.48434841</v>
      </c>
      <c r="C61" s="235">
        <v>613594.67471255001</v>
      </c>
      <c r="D61" s="235">
        <v>1439507.6880000001</v>
      </c>
      <c r="E61" s="235">
        <v>674656.68500000006</v>
      </c>
      <c r="F61" s="235">
        <v>1922644.3386796501</v>
      </c>
      <c r="G61" s="235">
        <v>776552.26375981304</v>
      </c>
      <c r="H61" s="145"/>
      <c r="I61" s="236">
        <f t="shared" si="25"/>
        <v>-76812769.269695163</v>
      </c>
      <c r="J61" s="236">
        <f t="shared" si="26"/>
        <v>193184828.93471399</v>
      </c>
      <c r="K61" s="233">
        <f t="shared" si="27"/>
        <v>116372059.66501883</v>
      </c>
      <c r="L61" s="233"/>
      <c r="M61" s="250">
        <v>44742</v>
      </c>
      <c r="N61" s="259">
        <f t="shared" si="28"/>
        <v>-22512.534955948169</v>
      </c>
      <c r="O61" s="254">
        <f t="shared" si="29"/>
        <v>1931.8482893471401</v>
      </c>
      <c r="P61" s="241">
        <f>IF(N61&lt;0,N61*'Homes - Inputs'!$H$35,N61*'Homes - Inputs'!$F$35)</f>
        <v>-1974.3493156366544</v>
      </c>
      <c r="Q61" s="241">
        <f>O61*'Homes - Inputs'!$F$36</f>
        <v>1526.1229260738485</v>
      </c>
      <c r="R61" s="244"/>
      <c r="S61" s="239"/>
      <c r="T61" s="257">
        <v>0.97697368421052633</v>
      </c>
      <c r="U61" s="254">
        <f t="shared" si="24"/>
        <v>194564.24254240596</v>
      </c>
      <c r="V61" s="239"/>
      <c r="W61" s="239"/>
      <c r="X61" s="228"/>
      <c r="Y61" s="228"/>
      <c r="Z61" s="228"/>
      <c r="AG61" s="239"/>
      <c r="AJ61" s="239"/>
      <c r="AK61" s="239"/>
      <c r="AL61" s="228"/>
      <c r="AM61" s="228"/>
    </row>
    <row r="62" spans="1:39" x14ac:dyDescent="0.3">
      <c r="A62" s="248">
        <v>44773</v>
      </c>
      <c r="B62" s="235">
        <v>1369201.8735173801</v>
      </c>
      <c r="C62" s="235">
        <v>612849.54872171895</v>
      </c>
      <c r="D62" s="235">
        <v>1604064.223</v>
      </c>
      <c r="E62" s="235">
        <v>673059.33970000001</v>
      </c>
      <c r="F62" s="235">
        <v>2142746.9683138598</v>
      </c>
      <c r="G62" s="235">
        <v>773356.470940492</v>
      </c>
      <c r="H62" s="145"/>
      <c r="I62" s="236">
        <f t="shared" si="25"/>
        <v>-62795972.941809177</v>
      </c>
      <c r="J62" s="236">
        <f t="shared" si="26"/>
        <v>192194484.40824401</v>
      </c>
      <c r="K62" s="233">
        <f t="shared" si="27"/>
        <v>129398511.46643484</v>
      </c>
      <c r="L62" s="233"/>
      <c r="M62" s="250">
        <v>44773</v>
      </c>
      <c r="N62" s="259">
        <f t="shared" si="28"/>
        <v>-18404.446934879594</v>
      </c>
      <c r="O62" s="254">
        <f t="shared" si="29"/>
        <v>1921.9448440824403</v>
      </c>
      <c r="P62" s="241">
        <f>IF(N62&lt;0,N62*'Homes - Inputs'!$H$35,N62*'Homes - Inputs'!$F$35)</f>
        <v>-1614.0699961889404</v>
      </c>
      <c r="Q62" s="241">
        <f>O62*'Homes - Inputs'!$F$36</f>
        <v>1518.2993951325636</v>
      </c>
      <c r="R62" s="244"/>
      <c r="S62" s="239"/>
      <c r="T62" s="257">
        <v>1</v>
      </c>
      <c r="U62" s="254">
        <f>($U$68/$T$68)*T62</f>
        <v>199149.93176057714</v>
      </c>
      <c r="V62" s="239"/>
      <c r="W62" s="239"/>
      <c r="X62" s="228"/>
      <c r="Y62" s="228"/>
      <c r="Z62" s="228"/>
      <c r="AG62" s="239"/>
      <c r="AJ62" s="239"/>
      <c r="AK62" s="239"/>
      <c r="AL62" s="228"/>
      <c r="AM62" s="228"/>
    </row>
    <row r="63" spans="1:39" x14ac:dyDescent="0.3">
      <c r="A63" s="248">
        <v>44804</v>
      </c>
      <c r="B63" s="235">
        <v>1256788.7063815999</v>
      </c>
      <c r="C63" s="235">
        <v>605293.93212852196</v>
      </c>
      <c r="D63" s="235">
        <v>1471323.7139999999</v>
      </c>
      <c r="E63" s="235">
        <v>664436.70990000002</v>
      </c>
      <c r="F63" s="235">
        <v>2006122.2300203301</v>
      </c>
      <c r="G63" s="235">
        <v>763115.08567488904</v>
      </c>
      <c r="H63" s="145"/>
      <c r="I63" s="236">
        <f t="shared" si="25"/>
        <v>45586418.664467335</v>
      </c>
      <c r="J63" s="236">
        <f t="shared" si="26"/>
        <v>189652455.394618</v>
      </c>
      <c r="K63" s="233">
        <f t="shared" si="27"/>
        <v>235238874.05908534</v>
      </c>
      <c r="L63" s="233"/>
      <c r="M63" s="250">
        <v>44804</v>
      </c>
      <c r="N63" s="259">
        <f t="shared" si="28"/>
        <v>13360.615083372606</v>
      </c>
      <c r="O63" s="254">
        <f t="shared" si="29"/>
        <v>1896.52455394618</v>
      </c>
      <c r="P63" s="241">
        <f>IF(N63&lt;0,N63*'Homes - Inputs'!$H$35,N63*'Homes - Inputs'!$F$35)</f>
        <v>2624.0248023743798</v>
      </c>
      <c r="Q63" s="241">
        <f>O63*'Homes - Inputs'!$F$36</f>
        <v>1498.2178557185623</v>
      </c>
      <c r="R63" s="244"/>
      <c r="S63" s="239"/>
      <c r="T63" s="257">
        <v>0.88486842105263153</v>
      </c>
      <c r="U63" s="254">
        <f t="shared" si="24"/>
        <v>176221.48566972121</v>
      </c>
      <c r="V63" s="239"/>
      <c r="W63" s="239"/>
      <c r="X63" s="228"/>
      <c r="Y63" s="228"/>
      <c r="Z63" s="228"/>
      <c r="AG63" s="239"/>
      <c r="AJ63" s="239"/>
      <c r="AK63" s="239"/>
      <c r="AL63" s="228"/>
      <c r="AM63" s="228"/>
    </row>
    <row r="64" spans="1:39" x14ac:dyDescent="0.3">
      <c r="A64" s="248">
        <v>44834</v>
      </c>
      <c r="B64" s="235">
        <v>882459.92443377199</v>
      </c>
      <c r="C64" s="235">
        <v>593984.82890673506</v>
      </c>
      <c r="D64" s="235">
        <v>1118005.2080000001</v>
      </c>
      <c r="E64" s="235">
        <v>652446.49380000005</v>
      </c>
      <c r="F64" s="235">
        <v>1511290.6798340301</v>
      </c>
      <c r="G64" s="235">
        <v>749952.553675537</v>
      </c>
      <c r="H64" s="145"/>
      <c r="I64" s="236">
        <f t="shared" si="25"/>
        <v>-171218094.21283352</v>
      </c>
      <c r="J64" s="236">
        <f t="shared" si="26"/>
        <v>186375154.649519</v>
      </c>
      <c r="K64" s="233">
        <f t="shared" si="27"/>
        <v>15157060.436685473</v>
      </c>
      <c r="L64" s="233"/>
      <c r="M64" s="250">
        <v>44834</v>
      </c>
      <c r="N64" s="259">
        <f t="shared" si="28"/>
        <v>-50181.153051826943</v>
      </c>
      <c r="O64" s="254">
        <f t="shared" si="29"/>
        <v>1863.7515464951898</v>
      </c>
      <c r="P64" s="241">
        <f>IF(N64&lt;0,N64*'Homes - Inputs'!$H$35,N64*'Homes - Inputs'!$F$35)</f>
        <v>-4400.8871226452229</v>
      </c>
      <c r="Q64" s="241">
        <f>O64*'Homes - Inputs'!$F$36</f>
        <v>1472.327811296778</v>
      </c>
      <c r="R64" s="244"/>
      <c r="S64" s="239"/>
      <c r="T64" s="257">
        <v>0.80427631578947367</v>
      </c>
      <c r="U64" s="254">
        <f t="shared" si="24"/>
        <v>160171.57340612207</v>
      </c>
      <c r="V64" s="239"/>
      <c r="W64" s="239"/>
      <c r="X64" s="228"/>
      <c r="Y64" s="228"/>
      <c r="Z64" s="228"/>
      <c r="AG64" s="239"/>
      <c r="AJ64" s="239"/>
      <c r="AK64" s="239"/>
      <c r="AL64" s="228"/>
      <c r="AM64" s="228"/>
    </row>
    <row r="65" spans="1:39" x14ac:dyDescent="0.3">
      <c r="A65" s="248">
        <v>44865</v>
      </c>
      <c r="B65" s="235">
        <v>1099919.2867063</v>
      </c>
      <c r="C65" s="235">
        <v>636459.44383392099</v>
      </c>
      <c r="D65" s="235">
        <v>1476126.973</v>
      </c>
      <c r="E65" s="235">
        <v>699819.7733</v>
      </c>
      <c r="F65" s="235">
        <v>1901209.1224102499</v>
      </c>
      <c r="G65" s="235">
        <v>805996.65438656404</v>
      </c>
      <c r="H65" s="145"/>
      <c r="I65" s="236">
        <f t="shared" si="25"/>
        <v>44491240.206292927</v>
      </c>
      <c r="J65" s="236">
        <f t="shared" si="26"/>
        <v>200464994.660714</v>
      </c>
      <c r="K65" s="233">
        <f t="shared" si="27"/>
        <v>244956234.86700693</v>
      </c>
      <c r="L65" s="233"/>
      <c r="M65" s="250">
        <v>44865</v>
      </c>
      <c r="N65" s="259">
        <f t="shared" si="28"/>
        <v>13039.636637248806</v>
      </c>
      <c r="O65" s="254">
        <f t="shared" si="29"/>
        <v>2004.64994660714</v>
      </c>
      <c r="P65" s="241">
        <f>IF(N65&lt;0,N65*'Homes - Inputs'!$H$35,N65*'Homes - Inputs'!$F$35)</f>
        <v>2560.9846355556656</v>
      </c>
      <c r="Q65" s="241">
        <f>O65*'Homes - Inputs'!$F$36</f>
        <v>1583.6348325798215</v>
      </c>
      <c r="R65" s="244"/>
      <c r="S65" s="239"/>
      <c r="T65" s="257">
        <v>0.58223684210526316</v>
      </c>
      <c r="U65" s="254">
        <f t="shared" si="24"/>
        <v>115952.42737375708</v>
      </c>
      <c r="V65" s="239"/>
      <c r="W65" s="239"/>
      <c r="X65" s="228"/>
      <c r="Y65" s="228"/>
      <c r="Z65" s="228"/>
      <c r="AG65" s="239"/>
      <c r="AJ65" s="239"/>
      <c r="AK65" s="239"/>
      <c r="AL65" s="228"/>
      <c r="AM65" s="228"/>
    </row>
    <row r="66" spans="1:39" x14ac:dyDescent="0.3">
      <c r="A66" s="248">
        <v>44895</v>
      </c>
      <c r="B66" s="235">
        <v>1684217.4861351899</v>
      </c>
      <c r="C66" s="235">
        <v>646171.95433787897</v>
      </c>
      <c r="D66" s="235">
        <v>2170239.787</v>
      </c>
      <c r="E66" s="235">
        <v>711505.196</v>
      </c>
      <c r="F66" s="235">
        <v>2702072.3747685598</v>
      </c>
      <c r="G66" s="235">
        <v>820973.703693302</v>
      </c>
      <c r="H66" s="145"/>
      <c r="I66" s="236">
        <f t="shared" si="25"/>
        <v>213667811.05724627</v>
      </c>
      <c r="J66" s="236">
        <f t="shared" si="26"/>
        <v>206262403.93040401</v>
      </c>
      <c r="K66" s="233">
        <f t="shared" si="27"/>
        <v>419930214.98765028</v>
      </c>
      <c r="L66" s="233"/>
      <c r="M66" s="250">
        <v>44895</v>
      </c>
      <c r="N66" s="259">
        <f t="shared" si="28"/>
        <v>62622.453416543452</v>
      </c>
      <c r="O66" s="254">
        <f t="shared" si="29"/>
        <v>2062.6240393040403</v>
      </c>
      <c r="P66" s="241">
        <f>IF(N66&lt;0,N66*'Homes - Inputs'!$H$35,N66*'Homes - Inputs'!$F$35)</f>
        <v>12299.049851009133</v>
      </c>
      <c r="Q66" s="241">
        <f>O66*'Homes - Inputs'!$F$36</f>
        <v>1629.4332487758313</v>
      </c>
      <c r="R66" s="244"/>
      <c r="T66" s="257">
        <v>0.45559210526315791</v>
      </c>
      <c r="U66" s="254">
        <f t="shared" si="24"/>
        <v>90731.136673815578</v>
      </c>
      <c r="V66" s="239"/>
      <c r="W66" s="239"/>
      <c r="X66" s="228"/>
      <c r="Y66" s="228"/>
      <c r="Z66" s="228"/>
      <c r="AG66" s="239"/>
      <c r="AJ66" s="239"/>
      <c r="AK66" s="239"/>
      <c r="AL66" s="228"/>
      <c r="AM66" s="228"/>
    </row>
    <row r="67" spans="1:39" x14ac:dyDescent="0.3">
      <c r="A67" s="248">
        <v>44926</v>
      </c>
      <c r="B67" s="235">
        <v>2493203.8098081299</v>
      </c>
      <c r="C67" s="235">
        <v>697314.51532469201</v>
      </c>
      <c r="D67" s="235">
        <v>3183654.7420000001</v>
      </c>
      <c r="E67" s="235">
        <v>768923.24309999996</v>
      </c>
      <c r="F67" s="235">
        <v>3898154.3487265902</v>
      </c>
      <c r="G67" s="235">
        <v>888440.83562615898</v>
      </c>
      <c r="H67" s="145"/>
      <c r="I67" s="236">
        <f t="shared" si="25"/>
        <v>662604392.64273965</v>
      </c>
      <c r="J67" s="236">
        <f t="shared" si="26"/>
        <v>222010578.16098401</v>
      </c>
      <c r="K67" s="233">
        <f t="shared" si="27"/>
        <v>884614970.80372369</v>
      </c>
      <c r="L67" s="233"/>
      <c r="M67" s="250">
        <v>44926</v>
      </c>
      <c r="N67" s="259">
        <f t="shared" si="28"/>
        <v>194198.23934429651</v>
      </c>
      <c r="O67" s="254">
        <f t="shared" si="29"/>
        <v>2220.1057816098401</v>
      </c>
      <c r="P67" s="241">
        <f>IF(N67&lt;0,N67*'Homes - Inputs'!$H$35,N67*'Homes - Inputs'!$F$35)</f>
        <v>38140.534207219833</v>
      </c>
      <c r="Q67" s="242">
        <f>O67*'Homes - Inputs'!$F$36</f>
        <v>1753.8407908671184</v>
      </c>
      <c r="R67" s="244"/>
      <c r="T67" s="257">
        <v>0.34046052631578949</v>
      </c>
      <c r="U67" s="254">
        <f t="shared" si="24"/>
        <v>67802.690582959651</v>
      </c>
      <c r="V67" s="239"/>
      <c r="W67" s="239"/>
      <c r="X67" s="228"/>
      <c r="Y67" s="228"/>
      <c r="Z67" s="228"/>
      <c r="AG67" s="239"/>
      <c r="AJ67" s="239"/>
      <c r="AK67" s="239"/>
      <c r="AL67" s="228"/>
      <c r="AM67" s="228"/>
    </row>
    <row r="68" spans="1:39" x14ac:dyDescent="0.3">
      <c r="A68" s="172"/>
      <c r="K68" s="308">
        <f>SUM(K56:K67)</f>
        <v>4456876081.3010187</v>
      </c>
      <c r="M68" s="249"/>
      <c r="N68" s="244"/>
      <c r="O68" s="244"/>
      <c r="P68" s="243">
        <f>SUM(P56:P67)</f>
        <v>135620.03328086893</v>
      </c>
      <c r="Q68" s="243">
        <f>SUM(Q56:Q67)</f>
        <v>19450.40051368847</v>
      </c>
      <c r="R68" s="309">
        <f>SUM(P68:Q68)</f>
        <v>155070.43379455741</v>
      </c>
      <c r="S68" s="278"/>
      <c r="T68" s="282">
        <f>SUM(T56:T67)</f>
        <v>8.4358552631578938</v>
      </c>
      <c r="U68" s="283">
        <v>1680000</v>
      </c>
      <c r="V68" s="239"/>
      <c r="W68" s="239"/>
      <c r="X68" s="228"/>
      <c r="Y68" s="228"/>
      <c r="Z68" s="228"/>
      <c r="AG68" s="239"/>
      <c r="AJ68" s="239"/>
      <c r="AK68" s="239"/>
      <c r="AL68" s="228"/>
      <c r="AM68" s="228"/>
    </row>
    <row r="69" spans="1:39" x14ac:dyDescent="0.3">
      <c r="A69" s="172"/>
      <c r="K69" s="307">
        <f>(K20-K68)/K20</f>
        <v>0.81655180794523152</v>
      </c>
      <c r="M69" s="249"/>
      <c r="N69" s="239"/>
      <c r="O69" s="239"/>
      <c r="P69" s="239"/>
      <c r="Q69" s="276"/>
      <c r="R69" s="307">
        <f>(R20-R68)/R20</f>
        <v>0.67518171283076578</v>
      </c>
      <c r="T69" s="239"/>
      <c r="U69" s="239"/>
      <c r="V69" s="239"/>
      <c r="W69" s="239"/>
      <c r="X69" s="228"/>
      <c r="Y69" s="228"/>
      <c r="Z69" s="228"/>
    </row>
    <row r="70" spans="1:39" x14ac:dyDescent="0.3">
      <c r="M70" s="249"/>
      <c r="N70" s="239"/>
      <c r="O70" s="239"/>
      <c r="P70" s="239"/>
      <c r="Q70" s="239"/>
      <c r="R70" s="239"/>
      <c r="S70" s="239"/>
      <c r="T70" s="239"/>
      <c r="U70" s="239"/>
      <c r="V70" s="239"/>
      <c r="W70" s="239"/>
      <c r="X70" s="228"/>
      <c r="Y70" s="228"/>
      <c r="Z70" s="228"/>
    </row>
    <row r="71" spans="1:39" ht="15" x14ac:dyDescent="0.3">
      <c r="A71" s="258"/>
      <c r="B71" s="258"/>
      <c r="C71" s="258"/>
      <c r="D71" s="258"/>
      <c r="E71" s="258"/>
      <c r="F71" s="258"/>
      <c r="G71" s="258"/>
      <c r="H71" s="258"/>
      <c r="I71" s="258"/>
      <c r="J71" s="258"/>
      <c r="K71" s="258"/>
      <c r="L71" s="258"/>
      <c r="M71" s="253" t="s">
        <v>342</v>
      </c>
      <c r="N71" s="237"/>
      <c r="O71" s="237"/>
      <c r="P71" s="237"/>
      <c r="Q71" s="237"/>
      <c r="R71" s="237"/>
      <c r="S71" s="237"/>
      <c r="T71" s="237"/>
      <c r="U71" s="237"/>
      <c r="V71" s="237"/>
      <c r="W71" s="237"/>
      <c r="X71" s="238"/>
      <c r="Y71" s="238"/>
      <c r="Z71" s="238"/>
    </row>
    <row r="72" spans="1:39" x14ac:dyDescent="0.3">
      <c r="M72" s="249"/>
      <c r="N72" s="239"/>
      <c r="O72" s="239"/>
      <c r="P72" s="239"/>
      <c r="Q72" s="239"/>
      <c r="R72" s="239"/>
      <c r="S72" s="239"/>
      <c r="T72" s="239"/>
      <c r="U72" s="239"/>
      <c r="V72" s="239"/>
      <c r="W72" s="239"/>
      <c r="X72" s="228"/>
      <c r="Y72" s="228"/>
      <c r="Z72" s="228"/>
    </row>
    <row r="73" spans="1:39" x14ac:dyDescent="0.3">
      <c r="M73" s="249"/>
      <c r="N73" s="239"/>
      <c r="O73" s="239"/>
      <c r="P73" s="239"/>
      <c r="Q73" s="239"/>
      <c r="R73" s="239"/>
      <c r="S73" s="239"/>
      <c r="T73" s="239"/>
      <c r="U73" s="239"/>
      <c r="V73" s="239"/>
      <c r="W73" s="239"/>
      <c r="X73" s="228"/>
      <c r="Y73" s="228"/>
      <c r="Z73" s="228"/>
    </row>
    <row r="74" spans="1:39" x14ac:dyDescent="0.3">
      <c r="A74" s="181" t="s">
        <v>306</v>
      </c>
      <c r="M74" s="249"/>
      <c r="N74" s="669" t="s">
        <v>343</v>
      </c>
      <c r="O74" s="670"/>
      <c r="P74" s="670"/>
      <c r="Q74" s="671"/>
      <c r="R74" s="239"/>
      <c r="S74" s="239"/>
      <c r="T74" s="239"/>
      <c r="U74" s="239"/>
      <c r="V74" s="239"/>
      <c r="W74" s="239"/>
      <c r="X74" s="228"/>
      <c r="Y74" s="228"/>
      <c r="Z74" s="228"/>
    </row>
    <row r="75" spans="1:39" x14ac:dyDescent="0.3">
      <c r="D75" s="234" t="s">
        <v>344</v>
      </c>
      <c r="E75" s="234" t="s">
        <v>345</v>
      </c>
      <c r="M75" s="251" t="s">
        <v>317</v>
      </c>
      <c r="N75" s="251" t="s">
        <v>318</v>
      </c>
      <c r="O75" s="251" t="s">
        <v>319</v>
      </c>
      <c r="P75" s="252" t="s">
        <v>320</v>
      </c>
      <c r="Q75" s="252" t="s">
        <v>321</v>
      </c>
      <c r="R75" s="245"/>
      <c r="S75" s="239"/>
      <c r="T75" s="239"/>
      <c r="U75" s="239"/>
      <c r="V75" s="239"/>
      <c r="W75" s="239"/>
      <c r="X75" s="228"/>
      <c r="Y75" s="228"/>
      <c r="Z75" s="228"/>
    </row>
    <row r="76" spans="1:39" x14ac:dyDescent="0.3">
      <c r="A76" s="248">
        <v>44592</v>
      </c>
      <c r="D76" s="235">
        <f t="shared" ref="D76:E87" si="30">D8/1000</f>
        <v>1446.2813799999999</v>
      </c>
      <c r="E76" s="235">
        <f t="shared" si="30"/>
        <v>13922.51778</v>
      </c>
      <c r="M76" s="250">
        <v>44592</v>
      </c>
      <c r="N76" s="254">
        <f t="shared" ref="N76:N87" si="31">D76/3.412</f>
        <v>423.88082649472449</v>
      </c>
      <c r="O76" s="254">
        <f t="shared" ref="O76:O87" si="32">E76/100</f>
        <v>139.22517780000001</v>
      </c>
      <c r="P76" s="241">
        <f>N76*'Homes - Inputs'!$F$35</f>
        <v>83.250194323563889</v>
      </c>
      <c r="Q76" s="241">
        <f>O76*'Homes - Inputs'!$F$36</f>
        <v>109.98520789595376</v>
      </c>
      <c r="R76" s="244"/>
      <c r="S76" s="239"/>
      <c r="T76" s="239"/>
      <c r="U76" s="239"/>
      <c r="V76" s="239"/>
      <c r="W76" s="239"/>
      <c r="X76" s="228"/>
      <c r="Y76" s="228"/>
      <c r="Z76" s="228"/>
    </row>
    <row r="77" spans="1:39" x14ac:dyDescent="0.3">
      <c r="A77" s="248">
        <v>44620</v>
      </c>
      <c r="D77" s="235">
        <f t="shared" si="30"/>
        <v>1305.791905</v>
      </c>
      <c r="E77" s="235">
        <f t="shared" si="30"/>
        <v>10503.076289999999</v>
      </c>
      <c r="M77" s="250">
        <v>44620</v>
      </c>
      <c r="N77" s="254">
        <f>D77/3.412</f>
        <v>382.70571658851117</v>
      </c>
      <c r="O77" s="254">
        <f t="shared" si="32"/>
        <v>105.03076289999998</v>
      </c>
      <c r="P77" s="241">
        <f>N77*'Homes - Inputs'!$F$35</f>
        <v>75.163402737983589</v>
      </c>
      <c r="Q77" s="241">
        <f>O77*'Homes - Inputs'!$F$36</f>
        <v>82.972278976878599</v>
      </c>
      <c r="R77" s="244"/>
      <c r="S77" s="239"/>
      <c r="T77" s="239"/>
      <c r="U77" s="239"/>
      <c r="V77" s="239"/>
      <c r="W77" s="239"/>
      <c r="X77" s="228"/>
      <c r="Y77" s="228"/>
      <c r="Z77" s="228"/>
    </row>
    <row r="78" spans="1:39" x14ac:dyDescent="0.3">
      <c r="A78" s="248">
        <v>44651</v>
      </c>
      <c r="D78" s="235">
        <f t="shared" si="30"/>
        <v>1415.1926289999999</v>
      </c>
      <c r="E78" s="235">
        <f t="shared" si="30"/>
        <v>8032.8341229999996</v>
      </c>
      <c r="M78" s="250">
        <v>44651</v>
      </c>
      <c r="N78" s="254">
        <f t="shared" si="31"/>
        <v>414.76923475967175</v>
      </c>
      <c r="O78" s="254">
        <f t="shared" si="32"/>
        <v>80.328341229999992</v>
      </c>
      <c r="P78" s="241">
        <f>N78*'Homes - Inputs'!$F$35</f>
        <v>81.46067770679953</v>
      </c>
      <c r="Q78" s="241">
        <f>O78*'Homes - Inputs'!$F$36</f>
        <v>63.457841819460491</v>
      </c>
      <c r="R78" s="244"/>
      <c r="S78" s="239"/>
      <c r="T78" s="239"/>
      <c r="U78" s="239"/>
      <c r="V78" s="239"/>
      <c r="W78" s="239"/>
      <c r="X78" s="228"/>
      <c r="Y78" s="228"/>
      <c r="Z78" s="228"/>
    </row>
    <row r="79" spans="1:39" x14ac:dyDescent="0.3">
      <c r="A79" s="248">
        <v>44681</v>
      </c>
      <c r="D79" s="235">
        <f t="shared" si="30"/>
        <v>1321.4173040000001</v>
      </c>
      <c r="E79" s="235">
        <f t="shared" si="30"/>
        <v>5456.7778669999998</v>
      </c>
      <c r="M79" s="250">
        <v>44681</v>
      </c>
      <c r="N79" s="254">
        <f t="shared" si="31"/>
        <v>387.28525908558032</v>
      </c>
      <c r="O79" s="254">
        <f t="shared" si="32"/>
        <v>54.567778669999996</v>
      </c>
      <c r="P79" s="241">
        <f>N79*'Homes - Inputs'!$F$35</f>
        <v>76.062824884407974</v>
      </c>
      <c r="Q79" s="241">
        <f>O79*'Homes - Inputs'!$F$36</f>
        <v>43.107493747013486</v>
      </c>
      <c r="R79" s="244"/>
      <c r="S79" s="239"/>
      <c r="T79" s="239"/>
      <c r="U79" s="239"/>
      <c r="V79" s="239"/>
      <c r="W79" s="239"/>
      <c r="X79" s="228"/>
      <c r="Y79" s="228"/>
      <c r="Z79" s="228"/>
    </row>
    <row r="80" spans="1:39" x14ac:dyDescent="0.3">
      <c r="A80" s="248">
        <v>44712</v>
      </c>
      <c r="D80" s="235">
        <f t="shared" si="30"/>
        <v>1579.575711</v>
      </c>
      <c r="E80" s="235">
        <f t="shared" si="30"/>
        <v>1945.636841</v>
      </c>
      <c r="M80" s="250">
        <v>44712</v>
      </c>
      <c r="N80" s="254">
        <f t="shared" si="31"/>
        <v>462.9471603165299</v>
      </c>
      <c r="O80" s="254">
        <f t="shared" si="32"/>
        <v>19.45636841</v>
      </c>
      <c r="P80" s="241">
        <f>N80*'Homes - Inputs'!$F$35</f>
        <v>90.922822286166465</v>
      </c>
      <c r="Q80" s="241">
        <f>O80*'Homes - Inputs'!$F$36</f>
        <v>15.370156162042388</v>
      </c>
      <c r="R80" s="244"/>
      <c r="S80" s="239"/>
      <c r="T80" s="239"/>
      <c r="U80" s="239"/>
      <c r="V80" s="239"/>
      <c r="W80" s="239"/>
      <c r="X80" s="228"/>
      <c r="Y80" s="228"/>
      <c r="Z80" s="228"/>
    </row>
    <row r="81" spans="1:26" x14ac:dyDescent="0.3">
      <c r="A81" s="248">
        <v>44742</v>
      </c>
      <c r="D81" s="235">
        <f t="shared" si="30"/>
        <v>2128.4328849999997</v>
      </c>
      <c r="E81" s="235">
        <f t="shared" si="30"/>
        <v>1007.881274</v>
      </c>
      <c r="M81" s="250">
        <v>44742</v>
      </c>
      <c r="N81" s="254">
        <f t="shared" si="31"/>
        <v>623.80799677608434</v>
      </c>
      <c r="O81" s="254">
        <f t="shared" si="32"/>
        <v>10.07881274</v>
      </c>
      <c r="P81" s="241">
        <f>N81*'Homes - Inputs'!$F$35</f>
        <v>122.51589056682296</v>
      </c>
      <c r="Q81" s="241">
        <f>O81*'Homes - Inputs'!$F$36</f>
        <v>7.9620678678227357</v>
      </c>
      <c r="R81" s="244"/>
      <c r="S81" s="239"/>
      <c r="T81" s="239"/>
      <c r="U81" s="239"/>
      <c r="V81" s="239"/>
      <c r="W81" s="239"/>
      <c r="X81" s="228"/>
      <c r="Y81" s="228"/>
      <c r="Z81" s="228"/>
    </row>
    <row r="82" spans="1:26" x14ac:dyDescent="0.3">
      <c r="A82" s="248">
        <v>44773</v>
      </c>
      <c r="D82" s="235">
        <f t="shared" si="30"/>
        <v>2506.7610210000003</v>
      </c>
      <c r="E82" s="235">
        <f t="shared" si="30"/>
        <v>887.71620210000003</v>
      </c>
      <c r="M82" s="250">
        <v>44773</v>
      </c>
      <c r="N82" s="254">
        <f t="shared" si="31"/>
        <v>734.68963100820645</v>
      </c>
      <c r="O82" s="254">
        <f t="shared" si="32"/>
        <v>8.8771620210000002</v>
      </c>
      <c r="P82" s="241">
        <f>N82*'Homes - Inputs'!$F$35</f>
        <v>144.29304353001174</v>
      </c>
      <c r="Q82" s="241">
        <f>O82*'Homes - Inputs'!$F$36</f>
        <v>7.0127869530057803</v>
      </c>
      <c r="R82" s="244"/>
      <c r="S82" s="239"/>
      <c r="T82" s="239"/>
      <c r="U82" s="239"/>
      <c r="V82" s="239"/>
      <c r="W82" s="239"/>
      <c r="X82" s="228"/>
      <c r="Y82" s="228"/>
      <c r="Z82" s="228"/>
    </row>
    <row r="83" spans="1:26" x14ac:dyDescent="0.3">
      <c r="A83" s="248">
        <v>44804</v>
      </c>
      <c r="D83" s="235">
        <f t="shared" si="30"/>
        <v>2311.09663</v>
      </c>
      <c r="E83" s="235">
        <f t="shared" si="30"/>
        <v>928.5935561</v>
      </c>
      <c r="M83" s="250">
        <v>44804</v>
      </c>
      <c r="N83" s="254">
        <f t="shared" si="31"/>
        <v>677.34367819460726</v>
      </c>
      <c r="O83" s="254">
        <f t="shared" si="32"/>
        <v>9.2859355610000005</v>
      </c>
      <c r="P83" s="241">
        <f>N83*'Homes - Inputs'!$F$35</f>
        <v>133.03029839742086</v>
      </c>
      <c r="Q83" s="241">
        <f>O83*'Homes - Inputs'!$F$36</f>
        <v>7.335710173429673</v>
      </c>
      <c r="R83" s="244"/>
      <c r="S83" s="239"/>
      <c r="T83" s="239"/>
      <c r="U83" s="239"/>
      <c r="V83" s="239"/>
      <c r="W83" s="239"/>
      <c r="X83" s="228"/>
      <c r="Y83" s="228"/>
      <c r="Z83" s="228"/>
    </row>
    <row r="84" spans="1:26" x14ac:dyDescent="0.3">
      <c r="A84" s="248">
        <v>44834</v>
      </c>
      <c r="D84" s="235">
        <f t="shared" si="30"/>
        <v>1544.3856089999999</v>
      </c>
      <c r="E84" s="235">
        <f t="shared" si="30"/>
        <v>1510.6900449999998</v>
      </c>
      <c r="M84" s="250">
        <v>44834</v>
      </c>
      <c r="N84" s="254">
        <f t="shared" si="31"/>
        <v>452.63353135990621</v>
      </c>
      <c r="O84" s="254">
        <f t="shared" si="32"/>
        <v>15.106900449999998</v>
      </c>
      <c r="P84" s="241">
        <f>N84*'Homes - Inputs'!$F$35</f>
        <v>88.89722555908557</v>
      </c>
      <c r="Q84" s="241">
        <f>O84*'Homes - Inputs'!$F$36</f>
        <v>11.934160278420036</v>
      </c>
      <c r="R84" s="244"/>
      <c r="S84" s="239"/>
      <c r="T84" s="239"/>
      <c r="U84" s="239"/>
      <c r="V84" s="239"/>
      <c r="W84" s="239"/>
      <c r="X84" s="228"/>
      <c r="Y84" s="228"/>
      <c r="Z84" s="228"/>
    </row>
    <row r="85" spans="1:26" x14ac:dyDescent="0.3">
      <c r="A85" s="248">
        <v>44865</v>
      </c>
      <c r="D85" s="235">
        <f t="shared" si="30"/>
        <v>1285.702419</v>
      </c>
      <c r="E85" s="235">
        <f t="shared" si="30"/>
        <v>4247.4443369999999</v>
      </c>
      <c r="M85" s="250">
        <v>44865</v>
      </c>
      <c r="N85" s="254">
        <f t="shared" si="31"/>
        <v>376.81782502930832</v>
      </c>
      <c r="O85" s="254">
        <f t="shared" si="32"/>
        <v>42.474443369999996</v>
      </c>
      <c r="P85" s="241">
        <f>N85*'Homes - Inputs'!$F$35</f>
        <v>74.007020835756151</v>
      </c>
      <c r="Q85" s="241">
        <f>O85*'Homes - Inputs'!$F$36</f>
        <v>33.553991872254329</v>
      </c>
      <c r="R85" s="244"/>
      <c r="S85" s="239"/>
      <c r="T85" s="239"/>
      <c r="U85" s="239"/>
      <c r="V85" s="239"/>
      <c r="W85" s="239"/>
      <c r="X85" s="228"/>
      <c r="Y85" s="228"/>
      <c r="Z85" s="228"/>
    </row>
    <row r="86" spans="1:26" x14ac:dyDescent="0.3">
      <c r="A86" s="248">
        <v>44895</v>
      </c>
      <c r="D86" s="235">
        <f t="shared" si="30"/>
        <v>1313.397541</v>
      </c>
      <c r="E86" s="235">
        <f t="shared" si="30"/>
        <v>7102.7053749999995</v>
      </c>
      <c r="M86" s="250">
        <v>44895</v>
      </c>
      <c r="N86" s="254">
        <f t="shared" si="31"/>
        <v>384.93480099648303</v>
      </c>
      <c r="O86" s="254">
        <f t="shared" si="32"/>
        <v>71.027053749999993</v>
      </c>
      <c r="P86" s="241">
        <f>N86*'Homes - Inputs'!$F$35</f>
        <v>75.601194915709272</v>
      </c>
      <c r="Q86" s="241">
        <f>O86*'Homes - Inputs'!$F$36</f>
        <v>56.110003925818873</v>
      </c>
      <c r="R86" s="244"/>
      <c r="S86" s="239"/>
      <c r="T86" s="239"/>
      <c r="U86" s="239"/>
      <c r="V86" s="239"/>
      <c r="W86" s="239"/>
      <c r="X86" s="228"/>
      <c r="Y86" s="228"/>
      <c r="Z86" s="228"/>
    </row>
    <row r="87" spans="1:26" x14ac:dyDescent="0.3">
      <c r="A87" s="248">
        <v>44926</v>
      </c>
      <c r="D87" s="235">
        <f t="shared" si="30"/>
        <v>1445.408723</v>
      </c>
      <c r="E87" s="235">
        <f t="shared" si="30"/>
        <v>10766.936019999999</v>
      </c>
      <c r="M87" s="250">
        <v>44926</v>
      </c>
      <c r="N87" s="254">
        <f t="shared" si="31"/>
        <v>423.62506535756154</v>
      </c>
      <c r="O87" s="254">
        <f t="shared" si="32"/>
        <v>107.66936019999999</v>
      </c>
      <c r="P87" s="242">
        <f>N87*'Homes - Inputs'!$F$35</f>
        <v>83.199962836225083</v>
      </c>
      <c r="Q87" s="242">
        <f>O87*'Homes - Inputs'!$F$36</f>
        <v>85.056720003853556</v>
      </c>
      <c r="R87" s="244"/>
      <c r="S87" s="239"/>
      <c r="T87" s="239"/>
      <c r="U87" s="239"/>
      <c r="V87" s="239"/>
      <c r="W87" s="239"/>
      <c r="X87" s="228"/>
      <c r="Y87" s="228"/>
      <c r="Z87" s="228"/>
    </row>
    <row r="88" spans="1:26" x14ac:dyDescent="0.3">
      <c r="M88" s="249"/>
      <c r="N88" s="244"/>
      <c r="O88" s="244"/>
      <c r="P88" s="243">
        <f>SUM(P76:P87)</f>
        <v>1128.4045585799531</v>
      </c>
      <c r="Q88" s="243">
        <f>SUM(Q76:Q87)</f>
        <v>523.85841967595377</v>
      </c>
      <c r="R88" s="243">
        <f>SUM(P88:Q88)</f>
        <v>1652.262978255907</v>
      </c>
      <c r="S88" s="239"/>
      <c r="T88" s="239"/>
      <c r="U88" s="239"/>
      <c r="V88" s="239"/>
      <c r="W88" s="239"/>
      <c r="X88" s="228"/>
      <c r="Y88" s="228"/>
      <c r="Z88" s="228"/>
    </row>
    <row r="89" spans="1:26" x14ac:dyDescent="0.3">
      <c r="M89" s="249"/>
      <c r="N89" s="239"/>
      <c r="O89" s="239"/>
      <c r="P89" s="239"/>
      <c r="Q89" s="239"/>
      <c r="R89" s="239"/>
      <c r="S89" s="239"/>
      <c r="T89" s="239"/>
      <c r="U89" s="239"/>
      <c r="V89" s="239"/>
      <c r="W89" s="239"/>
      <c r="X89" s="228"/>
      <c r="Y89" s="228"/>
      <c r="Z89" s="228"/>
    </row>
    <row r="90" spans="1:26" x14ac:dyDescent="0.3">
      <c r="M90" s="249"/>
      <c r="N90" s="239"/>
      <c r="O90" s="239"/>
      <c r="P90" s="239"/>
      <c r="Q90" s="239"/>
      <c r="R90" s="239"/>
      <c r="S90" s="239"/>
      <c r="T90" s="239"/>
      <c r="U90" s="239"/>
      <c r="V90" s="239"/>
      <c r="W90" s="239"/>
      <c r="X90" s="228"/>
      <c r="Y90" s="228"/>
      <c r="Z90" s="228"/>
    </row>
    <row r="91" spans="1:26" x14ac:dyDescent="0.3">
      <c r="M91" s="249"/>
      <c r="N91" s="239"/>
      <c r="O91" s="239"/>
      <c r="P91" s="239"/>
      <c r="Q91" s="239"/>
      <c r="R91" s="239"/>
      <c r="S91" s="239"/>
      <c r="T91" s="239"/>
      <c r="U91" s="239"/>
      <c r="V91" s="239"/>
      <c r="W91" s="239"/>
      <c r="X91" s="228"/>
      <c r="Y91" s="228"/>
      <c r="Z91" s="228"/>
    </row>
    <row r="92" spans="1:26" x14ac:dyDescent="0.3">
      <c r="M92" s="249"/>
      <c r="N92" s="239"/>
      <c r="O92" s="239"/>
      <c r="P92" s="239"/>
      <c r="Q92" s="239"/>
      <c r="R92" s="239"/>
      <c r="S92" s="239"/>
      <c r="T92" s="239"/>
      <c r="U92" s="239"/>
      <c r="V92" s="239"/>
      <c r="W92" s="239"/>
      <c r="X92" s="228"/>
      <c r="Y92" s="228"/>
      <c r="Z92" s="228"/>
    </row>
    <row r="93" spans="1:26" x14ac:dyDescent="0.3">
      <c r="M93" s="249"/>
      <c r="N93" s="239"/>
      <c r="O93" s="239"/>
      <c r="P93" s="239"/>
      <c r="Q93" s="239"/>
      <c r="R93" s="239"/>
      <c r="S93" s="239"/>
      <c r="T93" s="239"/>
      <c r="U93" s="239"/>
      <c r="V93" s="239"/>
      <c r="W93" s="239"/>
      <c r="X93" s="228"/>
      <c r="Y93" s="228"/>
      <c r="Z93" s="228"/>
    </row>
    <row r="94" spans="1:26" x14ac:dyDescent="0.3">
      <c r="A94" s="181" t="s">
        <v>328</v>
      </c>
      <c r="M94" s="249"/>
      <c r="N94" s="669" t="s">
        <v>346</v>
      </c>
      <c r="O94" s="670"/>
      <c r="P94" s="670"/>
      <c r="Q94" s="671"/>
      <c r="R94" s="239"/>
      <c r="S94" s="239"/>
      <c r="T94" s="239"/>
      <c r="U94" s="239"/>
      <c r="V94" s="239"/>
      <c r="W94" s="239"/>
      <c r="X94" s="228"/>
      <c r="Y94" s="228"/>
      <c r="Z94" s="228"/>
    </row>
    <row r="95" spans="1:26" x14ac:dyDescent="0.25">
      <c r="D95" s="172" t="s">
        <v>344</v>
      </c>
      <c r="E95" s="172" t="s">
        <v>345</v>
      </c>
      <c r="M95" s="251" t="s">
        <v>317</v>
      </c>
      <c r="N95" s="251" t="s">
        <v>334</v>
      </c>
      <c r="O95" s="251" t="s">
        <v>335</v>
      </c>
      <c r="P95" s="252" t="s">
        <v>320</v>
      </c>
      <c r="Q95" s="252" t="s">
        <v>321</v>
      </c>
      <c r="R95" s="245"/>
      <c r="S95" s="239"/>
      <c r="T95" s="239"/>
      <c r="U95" s="239"/>
      <c r="V95" s="239"/>
      <c r="W95" s="239"/>
      <c r="X95" s="228"/>
      <c r="Y95" s="228"/>
      <c r="Z95" s="228"/>
    </row>
    <row r="96" spans="1:26" x14ac:dyDescent="0.3">
      <c r="A96" s="248">
        <v>44592</v>
      </c>
      <c r="D96" s="233">
        <f t="shared" ref="D96:E107" si="33">D24/1000</f>
        <v>4037.8806179999997</v>
      </c>
      <c r="E96" s="233">
        <f t="shared" si="33"/>
        <v>791.55054319999999</v>
      </c>
      <c r="M96" s="250">
        <v>44592</v>
      </c>
      <c r="N96" s="254">
        <f t="shared" ref="N96:N107" si="34">D96/3.412</f>
        <v>1183.4351166471276</v>
      </c>
      <c r="O96" s="254">
        <f t="shared" ref="O96:O107" si="35">E96/100</f>
        <v>7.9155054319999998</v>
      </c>
      <c r="P96" s="241">
        <f>N96*'Homes - Inputs'!$F$35</f>
        <v>232.42665690949585</v>
      </c>
      <c r="Q96" s="241">
        <f>O96*'Homes - Inputs'!$F$36</f>
        <v>6.2530967767244698</v>
      </c>
      <c r="R96" s="244"/>
      <c r="S96" s="239"/>
      <c r="T96" s="239"/>
      <c r="U96" s="239"/>
      <c r="V96" s="239"/>
      <c r="W96" s="239"/>
      <c r="X96" s="228"/>
      <c r="Y96" s="228"/>
      <c r="Z96" s="228"/>
    </row>
    <row r="97" spans="1:26" x14ac:dyDescent="0.3">
      <c r="A97" s="248">
        <v>44620</v>
      </c>
      <c r="D97" s="233">
        <f t="shared" si="33"/>
        <v>3097.4874160000004</v>
      </c>
      <c r="E97" s="233">
        <f t="shared" si="33"/>
        <v>722.62592330000007</v>
      </c>
      <c r="M97" s="250">
        <v>44620</v>
      </c>
      <c r="N97" s="254">
        <f t="shared" si="34"/>
        <v>907.82163423212205</v>
      </c>
      <c r="O97" s="254">
        <f t="shared" si="35"/>
        <v>7.2262592330000004</v>
      </c>
      <c r="P97" s="241">
        <f>N97*'Homes - Inputs'!$F$35</f>
        <v>178.29616896318876</v>
      </c>
      <c r="Q97" s="241">
        <f>O97*'Homes - Inputs'!$F$36</f>
        <v>5.7086055597880545</v>
      </c>
      <c r="R97" s="244"/>
      <c r="S97" s="239"/>
      <c r="T97" s="239"/>
      <c r="U97" s="239"/>
      <c r="V97" s="239"/>
      <c r="W97" s="239"/>
      <c r="X97" s="228"/>
      <c r="Y97" s="228"/>
      <c r="Z97" s="228"/>
    </row>
    <row r="98" spans="1:26" x14ac:dyDescent="0.3">
      <c r="A98" s="248">
        <v>44651</v>
      </c>
      <c r="D98" s="233">
        <f t="shared" si="33"/>
        <v>2432.993375</v>
      </c>
      <c r="E98" s="233">
        <f t="shared" si="33"/>
        <v>789.63354960000004</v>
      </c>
      <c r="M98" s="250">
        <v>44651</v>
      </c>
      <c r="N98" s="254">
        <f t="shared" si="34"/>
        <v>713.06957063305981</v>
      </c>
      <c r="O98" s="254">
        <f t="shared" si="35"/>
        <v>7.8963354960000007</v>
      </c>
      <c r="P98" s="241">
        <f>N98*'Homes - Inputs'!$F$35</f>
        <v>140.04686367233293</v>
      </c>
      <c r="Q98" s="241">
        <f>O98*'Homes - Inputs'!$F$36</f>
        <v>6.2379528966473989</v>
      </c>
      <c r="R98" s="244"/>
      <c r="S98" s="239"/>
      <c r="T98" s="239"/>
      <c r="U98" s="239"/>
      <c r="V98" s="239"/>
      <c r="W98" s="239"/>
      <c r="X98" s="228"/>
      <c r="Y98" s="228"/>
      <c r="Z98" s="228"/>
    </row>
    <row r="99" spans="1:26" x14ac:dyDescent="0.3">
      <c r="A99" s="248">
        <v>44681</v>
      </c>
      <c r="D99" s="233">
        <f t="shared" si="33"/>
        <v>1770.977067</v>
      </c>
      <c r="E99" s="233">
        <f t="shared" si="33"/>
        <v>742.05982460000007</v>
      </c>
      <c r="M99" s="250">
        <v>44681</v>
      </c>
      <c r="N99" s="254">
        <f t="shared" si="34"/>
        <v>519.04368903868703</v>
      </c>
      <c r="O99" s="254">
        <f t="shared" si="35"/>
        <v>7.4205982460000008</v>
      </c>
      <c r="P99" s="241">
        <f>N99*'Homes - Inputs'!$F$35</f>
        <v>101.94018052719812</v>
      </c>
      <c r="Q99" s="241">
        <f>O99*'Homes - Inputs'!$F$36</f>
        <v>5.8621296355684009</v>
      </c>
      <c r="R99" s="244"/>
      <c r="S99" s="239"/>
      <c r="T99" s="239"/>
      <c r="U99" s="239"/>
      <c r="V99" s="239"/>
      <c r="W99" s="239"/>
      <c r="X99" s="228"/>
      <c r="Y99" s="228"/>
      <c r="Z99" s="228"/>
    </row>
    <row r="100" spans="1:26" x14ac:dyDescent="0.3">
      <c r="A100" s="248">
        <v>44712</v>
      </c>
      <c r="D100" s="233">
        <f t="shared" si="33"/>
        <v>1215.214369</v>
      </c>
      <c r="E100" s="233">
        <f t="shared" si="33"/>
        <v>731.83597069999996</v>
      </c>
      <c r="M100" s="250">
        <v>44712</v>
      </c>
      <c r="N100" s="254">
        <f t="shared" si="34"/>
        <v>356.15895926143025</v>
      </c>
      <c r="O100" s="254">
        <f t="shared" si="35"/>
        <v>7.3183597069999999</v>
      </c>
      <c r="P100" s="241">
        <f>N100*'Homes - Inputs'!$F$35</f>
        <v>69.949619598944892</v>
      </c>
      <c r="Q100" s="241">
        <f>O100*'Homes - Inputs'!$F$36</f>
        <v>5.7813631596724466</v>
      </c>
      <c r="R100" s="244"/>
      <c r="S100" s="239"/>
      <c r="T100" s="239"/>
      <c r="U100" s="239"/>
      <c r="V100" s="239"/>
      <c r="W100" s="239"/>
      <c r="X100" s="228"/>
      <c r="Y100" s="228"/>
      <c r="Z100" s="228"/>
    </row>
    <row r="101" spans="1:26" x14ac:dyDescent="0.3">
      <c r="A101" s="248">
        <v>44742</v>
      </c>
      <c r="D101" s="233">
        <f t="shared" si="33"/>
        <v>1439.5076880000001</v>
      </c>
      <c r="E101" s="233">
        <f t="shared" si="33"/>
        <v>674.65668500000004</v>
      </c>
      <c r="M101" s="250">
        <v>44742</v>
      </c>
      <c r="N101" s="254">
        <f t="shared" si="34"/>
        <v>421.89557092614308</v>
      </c>
      <c r="O101" s="254">
        <f t="shared" si="35"/>
        <v>6.7465668500000007</v>
      </c>
      <c r="P101" s="241">
        <f>N101*'Homes - Inputs'!$F$35</f>
        <v>82.860290129894494</v>
      </c>
      <c r="Q101" s="241">
        <f>O101*'Homes - Inputs'!$F$36</f>
        <v>5.329657819845858</v>
      </c>
      <c r="R101" s="244"/>
      <c r="S101" s="239"/>
      <c r="T101" s="239"/>
      <c r="U101" s="239"/>
      <c r="V101" s="239"/>
      <c r="W101" s="239"/>
      <c r="X101" s="228"/>
      <c r="Y101" s="228"/>
      <c r="Z101" s="228"/>
    </row>
    <row r="102" spans="1:26" x14ac:dyDescent="0.3">
      <c r="A102" s="248">
        <v>44773</v>
      </c>
      <c r="D102" s="233">
        <f t="shared" si="33"/>
        <v>1604.0642230000001</v>
      </c>
      <c r="E102" s="233">
        <f t="shared" si="33"/>
        <v>673.05933970000001</v>
      </c>
      <c r="M102" s="250">
        <v>44773</v>
      </c>
      <c r="N102" s="254">
        <f t="shared" si="34"/>
        <v>470.12433264947248</v>
      </c>
      <c r="O102" s="254">
        <f t="shared" si="35"/>
        <v>6.7305933969999998</v>
      </c>
      <c r="P102" s="241">
        <f>N102*'Homes - Inputs'!$F$35</f>
        <v>92.33241893235639</v>
      </c>
      <c r="Q102" s="241">
        <f>O102*'Homes - Inputs'!$F$36</f>
        <v>5.3170390997495183</v>
      </c>
      <c r="R102" s="244"/>
      <c r="S102" s="239"/>
      <c r="T102" s="239"/>
      <c r="U102" s="239"/>
      <c r="V102" s="239"/>
      <c r="W102" s="239"/>
      <c r="X102" s="228"/>
      <c r="Y102" s="228"/>
      <c r="Z102" s="228"/>
    </row>
    <row r="103" spans="1:26" x14ac:dyDescent="0.3">
      <c r="A103" s="248">
        <v>44804</v>
      </c>
      <c r="D103" s="233">
        <f t="shared" si="33"/>
        <v>1471.3237139999999</v>
      </c>
      <c r="E103" s="233">
        <f t="shared" si="33"/>
        <v>664.43670989999998</v>
      </c>
      <c r="M103" s="250">
        <v>44804</v>
      </c>
      <c r="N103" s="254">
        <f t="shared" si="34"/>
        <v>431.22031477139507</v>
      </c>
      <c r="O103" s="254">
        <f t="shared" si="35"/>
        <v>6.6443670990000001</v>
      </c>
      <c r="P103" s="241">
        <f>N103*'Homes - Inputs'!$F$35</f>
        <v>84.691669821101982</v>
      </c>
      <c r="Q103" s="241">
        <f>O103*'Homes - Inputs'!$F$36</f>
        <v>5.2489219857225429</v>
      </c>
      <c r="R103" s="244"/>
      <c r="S103" s="239"/>
      <c r="T103" s="239"/>
      <c r="U103" s="239"/>
      <c r="V103" s="239"/>
      <c r="W103" s="239"/>
      <c r="X103" s="228"/>
      <c r="Y103" s="228"/>
      <c r="Z103" s="228"/>
    </row>
    <row r="104" spans="1:26" x14ac:dyDescent="0.3">
      <c r="A104" s="248">
        <v>44834</v>
      </c>
      <c r="D104" s="233">
        <f t="shared" si="33"/>
        <v>1118.005208</v>
      </c>
      <c r="E104" s="233">
        <f t="shared" si="33"/>
        <v>652.4464938000001</v>
      </c>
      <c r="M104" s="250">
        <v>44834</v>
      </c>
      <c r="N104" s="254">
        <f t="shared" si="34"/>
        <v>327.66858382180538</v>
      </c>
      <c r="O104" s="254">
        <f t="shared" si="35"/>
        <v>6.5244649380000013</v>
      </c>
      <c r="P104" s="241">
        <f>N104*'Homes - Inputs'!$F$35</f>
        <v>64.35410986260257</v>
      </c>
      <c r="Q104" s="241">
        <f>O104*'Homes - Inputs'!$F$36</f>
        <v>5.1542015887861279</v>
      </c>
      <c r="R104" s="244"/>
      <c r="S104" s="239"/>
      <c r="T104" s="239"/>
      <c r="U104" s="239"/>
      <c r="V104" s="239"/>
      <c r="W104" s="239"/>
      <c r="X104" s="228"/>
      <c r="Y104" s="228"/>
      <c r="Z104" s="228"/>
    </row>
    <row r="105" spans="1:26" x14ac:dyDescent="0.3">
      <c r="A105" s="248">
        <v>44865</v>
      </c>
      <c r="D105" s="233">
        <f t="shared" si="33"/>
        <v>1476.1269729999999</v>
      </c>
      <c r="E105" s="233">
        <f t="shared" si="33"/>
        <v>699.81977329999995</v>
      </c>
      <c r="M105" s="250">
        <v>44865</v>
      </c>
      <c r="N105" s="254">
        <f t="shared" si="34"/>
        <v>432.62806946072681</v>
      </c>
      <c r="O105" s="254">
        <f t="shared" si="35"/>
        <v>6.9981977329999996</v>
      </c>
      <c r="P105" s="241">
        <f>N105*'Homes - Inputs'!$F$35</f>
        <v>84.968152842086738</v>
      </c>
      <c r="Q105" s="241">
        <f>O105*'Homes - Inputs'!$F$36</f>
        <v>5.5284413690366083</v>
      </c>
      <c r="R105" s="244"/>
      <c r="S105" s="239"/>
      <c r="T105" s="239"/>
      <c r="U105" s="239"/>
      <c r="V105" s="239"/>
      <c r="W105" s="239"/>
      <c r="X105" s="228"/>
      <c r="Y105" s="228"/>
      <c r="Z105" s="228"/>
    </row>
    <row r="106" spans="1:26" x14ac:dyDescent="0.3">
      <c r="A106" s="248">
        <v>44895</v>
      </c>
      <c r="D106" s="233">
        <f t="shared" si="33"/>
        <v>2170.239787</v>
      </c>
      <c r="E106" s="233">
        <f t="shared" si="33"/>
        <v>711.50519599999996</v>
      </c>
      <c r="M106" s="250">
        <v>44895</v>
      </c>
      <c r="N106" s="254">
        <f t="shared" si="34"/>
        <v>636.06089888628367</v>
      </c>
      <c r="O106" s="254">
        <f t="shared" si="35"/>
        <v>7.1150519599999997</v>
      </c>
      <c r="P106" s="241">
        <f>N106*'Homes - Inputs'!$F$35</f>
        <v>124.9223605412661</v>
      </c>
      <c r="Q106" s="241">
        <f>O106*'Homes - Inputs'!$F$36</f>
        <v>5.6207539568400771</v>
      </c>
      <c r="R106" s="244"/>
      <c r="S106" s="239"/>
      <c r="T106" s="239"/>
      <c r="U106" s="239"/>
      <c r="V106" s="239"/>
      <c r="W106" s="239"/>
      <c r="X106" s="228"/>
      <c r="Y106" s="228"/>
      <c r="Z106" s="228"/>
    </row>
    <row r="107" spans="1:26" x14ac:dyDescent="0.3">
      <c r="A107" s="248">
        <v>44926</v>
      </c>
      <c r="D107" s="233">
        <f t="shared" si="33"/>
        <v>3183.6547420000002</v>
      </c>
      <c r="E107" s="233">
        <f t="shared" si="33"/>
        <v>768.92324309999992</v>
      </c>
      <c r="M107" s="250">
        <v>44926</v>
      </c>
      <c r="N107" s="254">
        <f t="shared" si="34"/>
        <v>933.07583294255573</v>
      </c>
      <c r="O107" s="254">
        <f t="shared" si="35"/>
        <v>7.6892324309999989</v>
      </c>
      <c r="P107" s="242">
        <f>N107*'Homes - Inputs'!$F$35</f>
        <v>183.25609358991792</v>
      </c>
      <c r="Q107" s="242">
        <f>O107*'Homes - Inputs'!$F$36</f>
        <v>6.0743454657225424</v>
      </c>
      <c r="R107" s="244"/>
      <c r="S107" s="239"/>
      <c r="T107" s="239"/>
      <c r="U107" s="239"/>
      <c r="V107" s="239"/>
      <c r="W107" s="239"/>
      <c r="X107" s="228"/>
      <c r="Y107" s="228"/>
      <c r="Z107" s="228"/>
    </row>
    <row r="108" spans="1:26" x14ac:dyDescent="0.3">
      <c r="N108" s="244"/>
      <c r="O108" s="244"/>
      <c r="P108" s="243">
        <f>SUM(P96:P107)</f>
        <v>1440.0445853903866</v>
      </c>
      <c r="Q108" s="243">
        <f>SUM(Q96:Q107)</f>
        <v>68.11650931410405</v>
      </c>
      <c r="R108" s="243">
        <f>SUM(P108:Q108)</f>
        <v>1508.1610947044906</v>
      </c>
      <c r="S108" s="239"/>
      <c r="T108" s="239"/>
      <c r="U108" s="239"/>
      <c r="V108" s="239"/>
      <c r="W108" s="239"/>
      <c r="X108" s="228"/>
      <c r="Y108" s="228"/>
      <c r="Z108" s="228"/>
    </row>
    <row r="109" spans="1:26" x14ac:dyDescent="0.3">
      <c r="N109" s="239"/>
      <c r="O109" s="239"/>
      <c r="P109" s="239"/>
      <c r="Q109" s="239"/>
      <c r="R109" s="239"/>
      <c r="S109" s="239"/>
      <c r="T109" s="239"/>
      <c r="U109" s="239"/>
      <c r="V109" s="239"/>
      <c r="W109" s="239"/>
      <c r="X109" s="228"/>
      <c r="Y109" s="228"/>
      <c r="Z109" s="228"/>
    </row>
    <row r="110" spans="1:26" x14ac:dyDescent="0.3">
      <c r="N110" s="239"/>
      <c r="O110" s="239"/>
      <c r="P110" s="239"/>
      <c r="Q110" s="239"/>
      <c r="R110" s="239"/>
      <c r="S110" s="239"/>
      <c r="T110" s="239"/>
      <c r="U110" s="239"/>
      <c r="V110" s="239"/>
      <c r="W110" s="239"/>
      <c r="X110" s="228"/>
      <c r="Y110" s="228"/>
      <c r="Z110" s="228"/>
    </row>
    <row r="111" spans="1:26" x14ac:dyDescent="0.3">
      <c r="N111" s="239"/>
      <c r="O111" s="239"/>
      <c r="P111" s="239"/>
      <c r="Q111" s="239"/>
      <c r="R111" s="239"/>
      <c r="S111" s="239"/>
      <c r="T111" s="239"/>
      <c r="U111" s="239"/>
      <c r="V111" s="239"/>
      <c r="W111" s="239"/>
      <c r="X111" s="228"/>
      <c r="Y111" s="228"/>
      <c r="Z111" s="228"/>
    </row>
  </sheetData>
  <mergeCells count="14">
    <mergeCell ref="N94:Q94"/>
    <mergeCell ref="T6:V6"/>
    <mergeCell ref="N54:Q54"/>
    <mergeCell ref="AB6:AE6"/>
    <mergeCell ref="AH6:AJ6"/>
    <mergeCell ref="AB22:AE22"/>
    <mergeCell ref="N38:Q38"/>
    <mergeCell ref="N6:Q6"/>
    <mergeCell ref="N22:Q22"/>
    <mergeCell ref="AS3:AS4"/>
    <mergeCell ref="AT3:AU3"/>
    <mergeCell ref="AV3:AW3"/>
    <mergeCell ref="AX3:AY3"/>
    <mergeCell ref="N74:Q74"/>
  </mergeCells>
  <phoneticPr fontId="22" type="noConversion"/>
  <pageMargins left="0.25" right="0.25" top="0.75" bottom="0.75" header="0.3" footer="0.3"/>
  <pageSetup paperSize="256" scale="40" orientation="landscape" horizontalDpi="1200" verticalDpi="120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8B747-A0D8-46E0-97E2-A325C62A069A}">
  <sheetPr>
    <tabColor rgb="FFFFFF00"/>
  </sheetPr>
  <dimension ref="A1:D15"/>
  <sheetViews>
    <sheetView workbookViewId="0">
      <selection activeCell="I23" sqref="I23"/>
    </sheetView>
  </sheetViews>
  <sheetFormatPr defaultColWidth="9.3046875" defaultRowHeight="14.6" x14ac:dyDescent="0.4"/>
  <cols>
    <col min="1" max="1" width="10.53515625" style="284" bestFit="1" customWidth="1"/>
    <col min="2" max="3" width="9.3046875" style="284"/>
    <col min="4" max="4" width="9.3828125" style="284" bestFit="1" customWidth="1"/>
    <col min="5" max="16384" width="9.3046875" style="284"/>
  </cols>
  <sheetData>
    <row r="1" spans="1:4" x14ac:dyDescent="0.4">
      <c r="A1" s="594"/>
      <c r="B1" s="595" t="s">
        <v>377</v>
      </c>
      <c r="C1" s="595" t="s">
        <v>378</v>
      </c>
    </row>
    <row r="2" spans="1:4" x14ac:dyDescent="0.4">
      <c r="A2" s="594" t="s">
        <v>379</v>
      </c>
      <c r="B2" s="597">
        <v>240</v>
      </c>
      <c r="C2" s="598">
        <f t="shared" ref="C2:C13" si="0">B2/$B$8</f>
        <v>0.39473684210526316</v>
      </c>
      <c r="D2" s="292"/>
    </row>
    <row r="3" spans="1:4" x14ac:dyDescent="0.4">
      <c r="A3" s="594" t="s">
        <v>380</v>
      </c>
      <c r="B3" s="597">
        <v>315</v>
      </c>
      <c r="C3" s="598">
        <f t="shared" si="0"/>
        <v>0.51809210526315785</v>
      </c>
      <c r="D3" s="292"/>
    </row>
    <row r="4" spans="1:4" x14ac:dyDescent="0.4">
      <c r="A4" s="594" t="s">
        <v>381</v>
      </c>
      <c r="B4" s="597">
        <v>454</v>
      </c>
      <c r="C4" s="598">
        <f t="shared" si="0"/>
        <v>0.74671052631578949</v>
      </c>
      <c r="D4" s="292"/>
    </row>
    <row r="5" spans="1:4" x14ac:dyDescent="0.4">
      <c r="A5" s="594" t="s">
        <v>382</v>
      </c>
      <c r="B5" s="597">
        <v>509</v>
      </c>
      <c r="C5" s="598">
        <f t="shared" si="0"/>
        <v>0.83717105263157898</v>
      </c>
      <c r="D5" s="292"/>
    </row>
    <row r="6" spans="1:4" x14ac:dyDescent="0.4">
      <c r="A6" s="594" t="s">
        <v>360</v>
      </c>
      <c r="B6" s="597">
        <v>544</v>
      </c>
      <c r="C6" s="598">
        <f t="shared" si="0"/>
        <v>0.89473684210526316</v>
      </c>
      <c r="D6" s="292"/>
    </row>
    <row r="7" spans="1:4" x14ac:dyDescent="0.4">
      <c r="A7" s="594" t="s">
        <v>383</v>
      </c>
      <c r="B7" s="597">
        <v>594</v>
      </c>
      <c r="C7" s="598">
        <f t="shared" si="0"/>
        <v>0.97697368421052633</v>
      </c>
      <c r="D7" s="292"/>
    </row>
    <row r="8" spans="1:4" x14ac:dyDescent="0.4">
      <c r="A8" s="594" t="s">
        <v>384</v>
      </c>
      <c r="B8" s="597">
        <v>608</v>
      </c>
      <c r="C8" s="598">
        <f t="shared" si="0"/>
        <v>1</v>
      </c>
      <c r="D8" s="292"/>
    </row>
    <row r="9" spans="1:4" x14ac:dyDescent="0.4">
      <c r="A9" s="594" t="s">
        <v>385</v>
      </c>
      <c r="B9" s="597">
        <v>538</v>
      </c>
      <c r="C9" s="598">
        <f t="shared" si="0"/>
        <v>0.88486842105263153</v>
      </c>
      <c r="D9" s="292"/>
    </row>
    <row r="10" spans="1:4" x14ac:dyDescent="0.4">
      <c r="A10" s="594" t="s">
        <v>386</v>
      </c>
      <c r="B10" s="597">
        <v>489</v>
      </c>
      <c r="C10" s="598">
        <f t="shared" si="0"/>
        <v>0.80427631578947367</v>
      </c>
      <c r="D10" s="292"/>
    </row>
    <row r="11" spans="1:4" x14ac:dyDescent="0.4">
      <c r="A11" s="594" t="s">
        <v>387</v>
      </c>
      <c r="B11" s="597">
        <v>354</v>
      </c>
      <c r="C11" s="598">
        <f t="shared" si="0"/>
        <v>0.58223684210526316</v>
      </c>
      <c r="D11" s="292"/>
    </row>
    <row r="12" spans="1:4" x14ac:dyDescent="0.4">
      <c r="A12" s="594" t="s">
        <v>388</v>
      </c>
      <c r="B12" s="597">
        <v>277</v>
      </c>
      <c r="C12" s="598">
        <f t="shared" si="0"/>
        <v>0.45559210526315791</v>
      </c>
      <c r="D12" s="292"/>
    </row>
    <row r="13" spans="1:4" x14ac:dyDescent="0.4">
      <c r="A13" s="594" t="s">
        <v>389</v>
      </c>
      <c r="B13" s="597">
        <v>207</v>
      </c>
      <c r="C13" s="598">
        <f t="shared" si="0"/>
        <v>0.34046052631578949</v>
      </c>
      <c r="D13" s="292"/>
    </row>
    <row r="14" spans="1:4" x14ac:dyDescent="0.4">
      <c r="A14" s="596" t="s">
        <v>511</v>
      </c>
      <c r="B14" s="597">
        <f>SUM(B2:B13)</f>
        <v>5129</v>
      </c>
      <c r="C14" s="297">
        <f>SUM(C2:C13)</f>
        <v>8.4358552631578938</v>
      </c>
      <c r="D14" s="292"/>
    </row>
    <row r="15" spans="1:4" x14ac:dyDescent="0.4">
      <c r="A15" s="594"/>
      <c r="B15" s="594"/>
      <c r="C15" s="594"/>
    </row>
  </sheetData>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41431-2E8A-486A-BBCB-F7340A9ACBD0}">
  <sheetPr>
    <tabColor theme="5" tint="0.59999389629810485"/>
  </sheetPr>
  <dimension ref="A1:AP67"/>
  <sheetViews>
    <sheetView zoomScale="60" zoomScaleNormal="85" workbookViewId="0">
      <selection activeCell="S31" sqref="M26:S31"/>
    </sheetView>
  </sheetViews>
  <sheetFormatPr defaultColWidth="9.15234375" defaultRowHeight="12" x14ac:dyDescent="0.3"/>
  <cols>
    <col min="1" max="1" width="4.15234375" style="28" customWidth="1"/>
    <col min="2" max="2" width="6.3828125" style="30" bestFit="1" customWidth="1"/>
    <col min="3" max="3" width="29.84375" style="28" bestFit="1" customWidth="1"/>
    <col min="4" max="4" width="14.15234375" style="28" bestFit="1" customWidth="1"/>
    <col min="5" max="5" width="18" style="28" customWidth="1"/>
    <col min="6" max="6" width="13.3828125" style="28" bestFit="1" customWidth="1"/>
    <col min="7" max="7" width="13.53515625" style="28" bestFit="1" customWidth="1"/>
    <col min="8" max="8" width="14.69140625" style="28" bestFit="1" customWidth="1"/>
    <col min="9" max="9" width="20.84375" style="28" bestFit="1" customWidth="1"/>
    <col min="10" max="10" width="25" style="28" bestFit="1" customWidth="1"/>
    <col min="11" max="12" width="22.15234375" style="28" customWidth="1"/>
    <col min="13" max="13" width="27.3828125" style="28" customWidth="1"/>
    <col min="14" max="14" width="20" style="28" bestFit="1" customWidth="1"/>
    <col min="15" max="15" width="16.3828125" style="28" bestFit="1" customWidth="1"/>
    <col min="16" max="16" width="27.3046875" style="28" bestFit="1" customWidth="1"/>
    <col min="17" max="17" width="23.69140625" style="28" bestFit="1" customWidth="1"/>
    <col min="18" max="18" width="27.15234375" style="28" bestFit="1" customWidth="1"/>
    <col min="19" max="19" width="23.53515625" style="28" bestFit="1" customWidth="1"/>
    <col min="20" max="20" width="23" style="28" bestFit="1" customWidth="1"/>
    <col min="21" max="21" width="19.3828125" style="28" bestFit="1" customWidth="1"/>
    <col min="22" max="22" width="24.53515625" style="28" bestFit="1" customWidth="1"/>
    <col min="23" max="23" width="21" style="28" bestFit="1" customWidth="1"/>
    <col min="24" max="24" width="33.53515625" style="28" bestFit="1" customWidth="1"/>
    <col min="25" max="25" width="30.15234375" style="28" bestFit="1" customWidth="1"/>
    <col min="26" max="26" width="36.3828125" style="28" bestFit="1" customWidth="1"/>
    <col min="27" max="27" width="32.84375" style="28" bestFit="1" customWidth="1"/>
    <col min="28" max="28" width="34" style="28" bestFit="1" customWidth="1"/>
    <col min="29" max="29" width="25.15234375" style="28" bestFit="1" customWidth="1"/>
    <col min="30" max="16384" width="9.15234375" style="28"/>
  </cols>
  <sheetData>
    <row r="1" spans="2:42" ht="12.9" thickBot="1" x14ac:dyDescent="0.35">
      <c r="J1"/>
      <c r="K1"/>
    </row>
    <row r="2" spans="2:42" s="50" customFormat="1" ht="20.149999999999999" customHeight="1" x14ac:dyDescent="0.3">
      <c r="C2" s="673" t="s">
        <v>0</v>
      </c>
      <c r="D2" s="675" t="s">
        <v>1</v>
      </c>
      <c r="E2" s="675"/>
      <c r="F2" s="675" t="s">
        <v>2</v>
      </c>
      <c r="G2" s="675"/>
      <c r="H2" s="676" t="s">
        <v>3</v>
      </c>
      <c r="I2" s="677"/>
      <c r="J2"/>
      <c r="K2"/>
      <c r="L2"/>
      <c r="M2" s="419" t="s">
        <v>4</v>
      </c>
      <c r="N2" s="526" t="s">
        <v>305</v>
      </c>
      <c r="O2" s="526" t="s">
        <v>311</v>
      </c>
      <c r="P2" s="526" t="s">
        <v>390</v>
      </c>
      <c r="Q2" s="526" t="s">
        <v>391</v>
      </c>
      <c r="R2" s="526" t="s">
        <v>392</v>
      </c>
      <c r="S2" s="526" t="s">
        <v>393</v>
      </c>
      <c r="T2" s="526" t="s">
        <v>394</v>
      </c>
      <c r="U2" s="526" t="s">
        <v>395</v>
      </c>
      <c r="V2" s="526" t="s">
        <v>396</v>
      </c>
      <c r="W2" s="526" t="s">
        <v>397</v>
      </c>
      <c r="X2" s="526" t="s">
        <v>398</v>
      </c>
      <c r="Y2" s="526" t="s">
        <v>399</v>
      </c>
      <c r="Z2" s="526" t="s">
        <v>400</v>
      </c>
      <c r="AA2" s="526" t="s">
        <v>401</v>
      </c>
      <c r="AB2" s="526" t="s">
        <v>544</v>
      </c>
      <c r="AC2"/>
      <c r="AD2"/>
    </row>
    <row r="3" spans="2:42" ht="20.149999999999999" customHeight="1" thickBot="1" x14ac:dyDescent="0.35">
      <c r="B3" s="30" t="s">
        <v>15</v>
      </c>
      <c r="C3" s="674"/>
      <c r="D3" s="376" t="s">
        <v>16</v>
      </c>
      <c r="E3" s="376" t="s">
        <v>17</v>
      </c>
      <c r="F3" s="376" t="s">
        <v>18</v>
      </c>
      <c r="G3" s="376" t="s">
        <v>17</v>
      </c>
      <c r="H3" s="376" t="s">
        <v>19</v>
      </c>
      <c r="I3" s="548" t="s">
        <v>17</v>
      </c>
      <c r="J3"/>
      <c r="K3"/>
      <c r="L3"/>
      <c r="M3" s="420" t="s">
        <v>20</v>
      </c>
      <c r="N3" s="321"/>
      <c r="O3" s="375"/>
      <c r="P3" s="77"/>
      <c r="Q3" s="375"/>
      <c r="R3" s="321"/>
      <c r="S3" s="375"/>
      <c r="T3" s="321"/>
      <c r="U3" s="375"/>
      <c r="V3" s="321"/>
      <c r="W3" s="76"/>
      <c r="X3" s="323"/>
      <c r="Y3" s="324"/>
      <c r="Z3" s="323"/>
      <c r="AA3" s="76"/>
      <c r="AB3" s="527"/>
      <c r="AC3"/>
      <c r="AD3"/>
    </row>
    <row r="4" spans="2:42" ht="12.45" x14ac:dyDescent="0.3">
      <c r="B4" s="30">
        <v>1</v>
      </c>
      <c r="C4" s="377" t="str" cm="1">
        <f t="array" ref="C4">INDEX($N$2:$AA$2,1,$B4)</f>
        <v>262 Homes - Existing</v>
      </c>
      <c r="D4" s="510" cm="1">
        <f t="array" aca="1" ref="D4" ca="1">INDEX('Neighborhood - TMY3'!$C$42:$V$42,1,$B4)</f>
        <v>477465.06980299368</v>
      </c>
      <c r="E4" s="511" t="s">
        <v>21</v>
      </c>
      <c r="F4" s="512" cm="1">
        <f t="array" aca="1" ref="F4" ca="1">INDEX('Neighborhood - TMY3'!$C$31:$R$31,1,$B4)</f>
        <v>110.82049195332092</v>
      </c>
      <c r="G4" s="511" t="s">
        <v>21</v>
      </c>
      <c r="H4" s="512" cm="1">
        <f t="array" aca="1" ref="H4" ca="1">INDEX('Neighborhood - TMY3'!$C$46:$R$46,1,$B4)</f>
        <v>2083.251701551852</v>
      </c>
      <c r="I4" s="513" t="s">
        <v>21</v>
      </c>
      <c r="J4"/>
      <c r="K4"/>
      <c r="M4" s="421" t="s">
        <v>22</v>
      </c>
      <c r="N4" s="752" t="s">
        <v>548</v>
      </c>
      <c r="O4" s="753"/>
      <c r="P4" s="680" t="s">
        <v>404</v>
      </c>
      <c r="Q4" s="681"/>
      <c r="R4" s="690" t="s">
        <v>405</v>
      </c>
      <c r="S4" s="691"/>
      <c r="T4" s="690" t="s">
        <v>406</v>
      </c>
      <c r="U4" s="691"/>
      <c r="V4" s="710" t="s">
        <v>407</v>
      </c>
      <c r="W4" s="680"/>
      <c r="X4" s="719" t="s">
        <v>407</v>
      </c>
      <c r="Y4" s="720"/>
      <c r="Z4" s="719" t="s">
        <v>407</v>
      </c>
      <c r="AA4" s="726"/>
      <c r="AB4" s="528"/>
      <c r="AC4"/>
      <c r="AD4"/>
    </row>
    <row r="5" spans="2:42" ht="12.9" thickBot="1" x14ac:dyDescent="0.35">
      <c r="B5" s="30">
        <v>2</v>
      </c>
      <c r="C5" s="504" t="str" cm="1">
        <f t="array" ref="C5">INDEX($N$2:$AA$2,1,$B5)</f>
        <v>262 Homes - Geo</v>
      </c>
      <c r="D5" s="506" cm="1">
        <f t="array" aca="1" ref="D5" ca="1">INDEX('Neighborhood - TMY3'!$C$42:$V$42,1,$B5)</f>
        <v>465189.19457547873</v>
      </c>
      <c r="E5" s="507">
        <f ca="1">IF(D5=0,"-",1-D5/D$4)</f>
        <v>2.5710520002185877E-2</v>
      </c>
      <c r="F5" s="508" cm="1">
        <f t="array" aca="1" ref="F5" ca="1">INDEX('Neighborhood - TMY3'!$C$31:$R$31,1,$B5)</f>
        <v>46.544631199969849</v>
      </c>
      <c r="G5" s="507">
        <f ca="1">IF(F5=0,"-",1-F5/F$4)</f>
        <v>0.57999977820370019</v>
      </c>
      <c r="H5" s="508" cm="1">
        <f t="array" aca="1" ref="H5" ca="1">INDEX('Neighborhood - TMY3'!$C$46:$R$46,1,$B5)</f>
        <v>1611.6938489855152</v>
      </c>
      <c r="I5" s="509">
        <f ca="1">IF(H5=0,"-",1-H5/H$4)</f>
        <v>0.22635663862175881</v>
      </c>
      <c r="J5"/>
      <c r="K5"/>
      <c r="M5" s="421" t="s">
        <v>24</v>
      </c>
      <c r="N5" s="754"/>
      <c r="O5" s="755"/>
      <c r="P5" s="680" t="s">
        <v>409</v>
      </c>
      <c r="Q5" s="681"/>
      <c r="R5" s="690" t="s">
        <v>410</v>
      </c>
      <c r="S5" s="691"/>
      <c r="T5" s="710" t="s">
        <v>411</v>
      </c>
      <c r="U5" s="681"/>
      <c r="V5" s="710" t="s">
        <v>411</v>
      </c>
      <c r="W5" s="680"/>
      <c r="X5" s="719" t="s">
        <v>411</v>
      </c>
      <c r="Y5" s="720"/>
      <c r="Z5" s="719" t="s">
        <v>411</v>
      </c>
      <c r="AA5" s="726"/>
      <c r="AB5" s="528"/>
    </row>
    <row r="6" spans="2:42" ht="12.45" x14ac:dyDescent="0.3">
      <c r="B6" s="30">
        <v>3</v>
      </c>
      <c r="C6" s="503" t="str" cm="1">
        <f t="array" ref="C6">INDEX($N$2:$AA$2,1,$B6)</f>
        <v>Community Center - Existing</v>
      </c>
      <c r="D6" s="514" cm="1">
        <f t="array" aca="1" ref="D6" ca="1">INDEX('Neighborhood - TMY3'!$C$42:$V$42,1,$B6)</f>
        <v>421020.15049393731</v>
      </c>
      <c r="E6" s="515" t="s">
        <v>21</v>
      </c>
      <c r="F6" s="516" cm="1">
        <f t="array" aca="1" ref="F6" ca="1">INDEX('Neighborhood - TMY3'!$C$31:$R$31,1,$B6)</f>
        <v>43.05532495440584</v>
      </c>
      <c r="G6" s="515" t="s">
        <v>21</v>
      </c>
      <c r="H6" s="516" cm="1">
        <f t="array" aca="1" ref="H6" ca="1">INDEX('Neighborhood - TMY3'!$C$46:$R$46,1,$B6)</f>
        <v>1465.0048420653025</v>
      </c>
      <c r="I6" s="517" t="s">
        <v>21</v>
      </c>
      <c r="J6"/>
      <c r="K6"/>
      <c r="M6" s="421" t="s">
        <v>26</v>
      </c>
      <c r="N6" s="754"/>
      <c r="O6" s="755"/>
      <c r="P6" s="682" t="s">
        <v>413</v>
      </c>
      <c r="Q6" s="683"/>
      <c r="R6" s="692" t="s">
        <v>27</v>
      </c>
      <c r="S6" s="693"/>
      <c r="T6" s="692" t="s">
        <v>27</v>
      </c>
      <c r="U6" s="693"/>
      <c r="V6" s="692" t="s">
        <v>27</v>
      </c>
      <c r="W6" s="729"/>
      <c r="X6" s="721" t="s">
        <v>27</v>
      </c>
      <c r="Y6" s="722"/>
      <c r="Z6" s="721" t="s">
        <v>27</v>
      </c>
      <c r="AA6" s="727"/>
      <c r="AB6" s="528"/>
    </row>
    <row r="7" spans="2:42" ht="12.9" thickBot="1" x14ac:dyDescent="0.35">
      <c r="B7" s="30">
        <v>4</v>
      </c>
      <c r="C7" s="504" t="str" cm="1">
        <f t="array" ref="C7">INDEX($N$2:$AA$2,1,$B7)</f>
        <v>Community Center - Geo</v>
      </c>
      <c r="D7" s="506" cm="1">
        <f t="array" aca="1" ref="D7" ca="1">INDEX('Neighborhood - TMY3'!$C$42:$V$42,1,$B7)</f>
        <v>110920.34207500584</v>
      </c>
      <c r="E7" s="507">
        <f ca="1">IF(D7=0,"-",1-D7/D$6)</f>
        <v>0.73654386388662152</v>
      </c>
      <c r="F7" s="508" cm="1">
        <f t="array" aca="1" ref="F7" ca="1">INDEX('Neighborhood - TMY3'!$C$31:$R$31,1,$B7)</f>
        <v>16.840512645892733</v>
      </c>
      <c r="G7" s="507">
        <f ca="1">IF(F7=0,"-",1-F7/F$6)</f>
        <v>0.60886341785304654</v>
      </c>
      <c r="H7" s="508" cm="1">
        <f t="array" aca="1" ref="H7" ca="1">INDEX('Neighborhood - TMY3'!$C$46:$R$46,1,$B7)</f>
        <v>365.20766871887497</v>
      </c>
      <c r="I7" s="509">
        <f ca="1">IF(H7=0,"-",1-H7/H$6)</f>
        <v>0.75071231286579199</v>
      </c>
      <c r="J7"/>
      <c r="K7"/>
      <c r="M7" s="421" t="s">
        <v>32</v>
      </c>
      <c r="N7" s="754"/>
      <c r="O7" s="755"/>
      <c r="P7" s="680" t="s">
        <v>415</v>
      </c>
      <c r="Q7" s="681"/>
      <c r="R7" s="690" t="s">
        <v>416</v>
      </c>
      <c r="S7" s="691"/>
      <c r="T7" s="690" t="s">
        <v>254</v>
      </c>
      <c r="U7" s="691"/>
      <c r="V7" s="710" t="s">
        <v>417</v>
      </c>
      <c r="W7" s="680"/>
      <c r="X7" s="719" t="s">
        <v>417</v>
      </c>
      <c r="Y7" s="720"/>
      <c r="Z7" s="719" t="s">
        <v>417</v>
      </c>
      <c r="AA7" s="726"/>
      <c r="AB7" s="528"/>
    </row>
    <row r="8" spans="2:42" ht="12.45" x14ac:dyDescent="0.3">
      <c r="B8" s="30">
        <v>5</v>
      </c>
      <c r="C8" s="503" t="str" cm="1">
        <f t="array" ref="C8">INDEX($N$2:$AA$2,1,$B8)</f>
        <v>Bryant Elementary - Existing</v>
      </c>
      <c r="D8" s="514" cm="1">
        <f t="array" aca="1" ref="D8" ca="1">INDEX('Neighborhood - TMY3'!$C$42:$V$42,1,$B8)</f>
        <v>9001.4196047193382</v>
      </c>
      <c r="E8" s="515" t="s">
        <v>21</v>
      </c>
      <c r="F8" s="516" cm="1">
        <f t="array" aca="1" ref="F8" ca="1">INDEX('Neighborhood - TMY3'!$C$31:$R$31,1,$B8)</f>
        <v>109.45690839694656</v>
      </c>
      <c r="G8" s="515" t="s">
        <v>21</v>
      </c>
      <c r="H8" s="516" cm="1">
        <f t="array" aca="1" ref="H8" ca="1">INDEX('Neighborhood - TMY3'!$C$46:$R$46,1,$B8)</f>
        <v>47.833682837939136</v>
      </c>
      <c r="I8" s="517" t="s">
        <v>21</v>
      </c>
      <c r="J8"/>
      <c r="K8"/>
      <c r="M8" s="421" t="s">
        <v>38</v>
      </c>
      <c r="N8" s="754"/>
      <c r="O8" s="755"/>
      <c r="P8" s="684">
        <v>0.2</v>
      </c>
      <c r="Q8" s="685"/>
      <c r="R8" s="698">
        <v>0.2</v>
      </c>
      <c r="S8" s="699"/>
      <c r="T8" s="698">
        <v>0.2</v>
      </c>
      <c r="U8" s="699"/>
      <c r="V8" s="730" t="s">
        <v>418</v>
      </c>
      <c r="W8" s="684"/>
      <c r="X8" s="723">
        <v>0</v>
      </c>
      <c r="Y8" s="724"/>
      <c r="Z8" s="723">
        <v>0</v>
      </c>
      <c r="AA8" s="728"/>
      <c r="AB8" s="528"/>
    </row>
    <row r="9" spans="2:42" ht="12.9" thickBot="1" x14ac:dyDescent="0.35">
      <c r="B9" s="30">
        <v>6</v>
      </c>
      <c r="C9" s="504" t="str" cm="1">
        <f t="array" ref="C9">INDEX($N$2:$AA$2,1,$B9)</f>
        <v>Bryant Elementary - Geo</v>
      </c>
      <c r="D9" s="506" cm="1">
        <f t="array" aca="1" ref="D9" ca="1">INDEX('Neighborhood - TMY3'!$C$42:$V$42,1,$B9)</f>
        <v>8083.3994718796648</v>
      </c>
      <c r="E9" s="507">
        <f ca="1">IF(D9=0,"-",1-D9/D$8)</f>
        <v>0.10198615031326463</v>
      </c>
      <c r="F9" s="508" cm="1">
        <f t="array" aca="1" ref="F9" ca="1">INDEX('Neighborhood - TMY3'!$C$31:$R$31,1,$B9)</f>
        <v>51.875379434216434</v>
      </c>
      <c r="G9" s="507">
        <f ca="1">IF(F9=0,"-",1-F9/F$8)</f>
        <v>0.52606573496402931</v>
      </c>
      <c r="H9" s="508" cm="1">
        <f t="array" aca="1" ref="H9" ca="1">INDEX('Neighborhood - TMY3'!$C$46:$R$46,1,$B9)</f>
        <v>42.365852390701377</v>
      </c>
      <c r="I9" s="509">
        <f ca="1">IF(H9=0,"-",1-H9/H$8)</f>
        <v>0.1143092089681409</v>
      </c>
      <c r="J9"/>
      <c r="K9"/>
      <c r="M9" s="421" t="s">
        <v>256</v>
      </c>
      <c r="N9" s="756"/>
      <c r="O9" s="757"/>
      <c r="P9" s="704">
        <v>1.3</v>
      </c>
      <c r="Q9" s="701"/>
      <c r="R9" s="700">
        <v>0.2</v>
      </c>
      <c r="S9" s="701"/>
      <c r="T9" s="700">
        <v>0.4</v>
      </c>
      <c r="U9" s="701"/>
      <c r="V9" s="731">
        <v>0.25</v>
      </c>
      <c r="W9" s="732"/>
      <c r="X9" s="715">
        <v>0.8</v>
      </c>
      <c r="Y9" s="725"/>
      <c r="Z9" s="715">
        <v>1</v>
      </c>
      <c r="AA9" s="716"/>
      <c r="AB9" s="528"/>
    </row>
    <row r="10" spans="2:42" ht="15" x14ac:dyDescent="0.35">
      <c r="B10" s="30">
        <v>7</v>
      </c>
      <c r="C10" s="377" t="str" cm="1">
        <f t="array" ref="C10">INDEX($N$2:$AA$2,1,$B10)</f>
        <v>County Health - Existing</v>
      </c>
      <c r="D10" s="510" cm="1">
        <f t="array" aca="1" ref="D10" ca="1">INDEX('Neighborhood - TMY3'!$C$42:$V$42,1,$B10)</f>
        <v>65374.02983602621</v>
      </c>
      <c r="E10" s="518" t="s">
        <v>21</v>
      </c>
      <c r="F10" s="512" cm="1">
        <f t="array" aca="1" ref="F10" ca="1">INDEX('Neighborhood - TMY3'!$C$31:$R$31,1,$B10)</f>
        <v>56.839355229194489</v>
      </c>
      <c r="G10" s="518" t="s">
        <v>21</v>
      </c>
      <c r="H10" s="512" cm="1">
        <f t="array" aca="1" ref="H10" ca="1">INDEX('Neighborhood - TMY3'!$C$46:$R$46,1,$B10)</f>
        <v>346.4071733234295</v>
      </c>
      <c r="I10" s="519" t="s">
        <v>21</v>
      </c>
      <c r="J10"/>
      <c r="K10"/>
      <c r="L10" s="29"/>
      <c r="M10" s="420" t="s">
        <v>39</v>
      </c>
      <c r="N10" s="323"/>
      <c r="O10" s="324"/>
      <c r="P10" s="76"/>
      <c r="Q10" s="324"/>
      <c r="R10" s="323"/>
      <c r="S10" s="324"/>
      <c r="T10" s="323"/>
      <c r="U10" s="324"/>
      <c r="V10" s="323"/>
      <c r="W10" s="76"/>
      <c r="X10" s="323"/>
      <c r="Y10" s="324"/>
      <c r="Z10" s="323"/>
      <c r="AA10" s="76"/>
      <c r="AB10" s="527"/>
    </row>
    <row r="11" spans="2:42" ht="15" thickBot="1" x14ac:dyDescent="0.4">
      <c r="B11" s="30">
        <v>8</v>
      </c>
      <c r="C11" s="504" t="str" cm="1">
        <f t="array" ref="C11">INDEX($N$2:$AA$2,1,$B11)</f>
        <v>County Health - Geo</v>
      </c>
      <c r="D11" s="506" cm="1">
        <f t="array" aca="1" ref="D11" ca="1">INDEX('Neighborhood - TMY3'!$C$42:$V$42,1,$B11)</f>
        <v>73149.594681915187</v>
      </c>
      <c r="E11" s="507">
        <f ca="1">IF(D11=0,"-",1-D11/D$10)</f>
        <v>-0.1189396594548624</v>
      </c>
      <c r="F11" s="508" cm="1">
        <f t="array" aca="1" ref="F11" ca="1">INDEX('Neighborhood - TMY3'!$C$31:$R$31,1,$B11)</f>
        <v>38.508270004450388</v>
      </c>
      <c r="G11" s="507">
        <f ca="1">IF(F11=0,"-",1-F11/F$10)</f>
        <v>0.32250691709691803</v>
      </c>
      <c r="H11" s="508" cm="1">
        <f t="array" aca="1" ref="H11" ca="1">INDEX('Neighborhood - TMY3'!$C$46:$R$46,1,$B11)</f>
        <v>383.59005814591279</v>
      </c>
      <c r="I11" s="509">
        <f ca="1">IF(H11=0,"-",1-H11/H$10)</f>
        <v>-0.10733866872833731</v>
      </c>
      <c r="J11"/>
      <c r="K11"/>
      <c r="L11" s="29"/>
      <c r="M11" s="422" t="s">
        <v>419</v>
      </c>
      <c r="N11" s="758" t="s">
        <v>547</v>
      </c>
      <c r="O11" s="759"/>
      <c r="P11" s="705" t="s">
        <v>420</v>
      </c>
      <c r="Q11" s="706"/>
      <c r="R11" s="713" t="s">
        <v>421</v>
      </c>
      <c r="S11" s="714"/>
      <c r="T11" s="711" t="s">
        <v>422</v>
      </c>
      <c r="U11" s="712"/>
      <c r="V11" s="713" t="s">
        <v>423</v>
      </c>
      <c r="W11" s="733"/>
      <c r="X11" s="717" t="s">
        <v>423</v>
      </c>
      <c r="Y11" s="734"/>
      <c r="Z11" s="717" t="s">
        <v>423</v>
      </c>
      <c r="AA11" s="718"/>
      <c r="AB11" s="528"/>
    </row>
    <row r="12" spans="2:42" ht="24" customHeight="1" x14ac:dyDescent="0.35">
      <c r="B12" s="30">
        <v>9</v>
      </c>
      <c r="C12" s="503" t="str" cm="1">
        <f t="array" ref="C12">INDEX($N$2:$AA$2,1,$B12)</f>
        <v>Wheeler Center - Existing</v>
      </c>
      <c r="D12" s="514" cm="1">
        <f t="array" aca="1" ref="D12" ca="1">INDEX('Neighborhood - TMY3'!$C$42:$V$42,1,$B12)</f>
        <v>39189.921385380658</v>
      </c>
      <c r="E12" s="515" t="s">
        <v>21</v>
      </c>
      <c r="F12" s="516" cm="1">
        <f t="array" aca="1" ref="F12" ca="1">INDEX('Neighborhood - TMY3'!$C$31:$R$31,1,$B12)</f>
        <v>60.737004284161387</v>
      </c>
      <c r="G12" s="515" t="s">
        <v>21</v>
      </c>
      <c r="H12" s="516" cm="1">
        <f t="array" aca="1" ref="H12" ca="1">INDEX('Neighborhood - TMY3'!$C$46:$R$46,1,$B12)</f>
        <v>207.62058868092058</v>
      </c>
      <c r="I12" s="517" t="s">
        <v>21</v>
      </c>
      <c r="J12"/>
      <c r="K12"/>
      <c r="L12" s="29"/>
      <c r="M12" s="422" t="s">
        <v>41</v>
      </c>
      <c r="N12" s="760"/>
      <c r="O12" s="761"/>
      <c r="P12" s="705" t="s">
        <v>424</v>
      </c>
      <c r="Q12" s="706"/>
      <c r="R12" s="713" t="s">
        <v>421</v>
      </c>
      <c r="S12" s="714"/>
      <c r="T12" s="713" t="s">
        <v>421</v>
      </c>
      <c r="U12" s="714"/>
      <c r="V12" s="713" t="s">
        <v>421</v>
      </c>
      <c r="W12" s="733"/>
      <c r="X12" s="717" t="s">
        <v>421</v>
      </c>
      <c r="Y12" s="734"/>
      <c r="Z12" s="717" t="s">
        <v>421</v>
      </c>
      <c r="AA12" s="718"/>
      <c r="AB12" s="528"/>
    </row>
    <row r="13" spans="2:42" ht="15" thickBot="1" x14ac:dyDescent="0.4">
      <c r="B13" s="30">
        <v>10</v>
      </c>
      <c r="C13" s="504" t="str" cm="1">
        <f t="array" ref="C13">INDEX($N$2:$AA$2,1,$B13)</f>
        <v>Wheeler Center - Geo</v>
      </c>
      <c r="D13" s="506" cm="1">
        <f t="array" aca="1" ref="D13" ca="1">INDEX('Neighborhood - TMY3'!$C$42:$V$42,1,$B13)</f>
        <v>43889.839655589931</v>
      </c>
      <c r="E13" s="507">
        <f ca="1">IF(D13=0,"-",1-D13/D$12)</f>
        <v>-0.11992670829808105</v>
      </c>
      <c r="F13" s="508" cm="1">
        <f t="array" aca="1" ref="F13" ca="1">INDEX('Neighborhood - TMY3'!$C$31:$R$31,1,$B13)</f>
        <v>42.26843865802762</v>
      </c>
      <c r="G13" s="507">
        <f ca="1">IF(F13=0,"-",1-F13/F$12)</f>
        <v>0.30407435868465915</v>
      </c>
      <c r="H13" s="508" cm="1">
        <f t="array" aca="1" ref="H13" ca="1">INDEX('Neighborhood - TMY3'!$C$46:$R$46,1,$B13)</f>
        <v>230.22331907392874</v>
      </c>
      <c r="I13" s="509">
        <f ca="1">IF(H13=0,"-",1-H13/H$12)</f>
        <v>-0.10886555392512109</v>
      </c>
      <c r="K13" s="29"/>
      <c r="L13" s="29"/>
      <c r="M13" s="422" t="s">
        <v>259</v>
      </c>
      <c r="N13" s="762"/>
      <c r="O13" s="763"/>
      <c r="P13" s="707" t="s">
        <v>425</v>
      </c>
      <c r="Q13" s="703"/>
      <c r="R13" s="702" t="s">
        <v>425</v>
      </c>
      <c r="S13" s="703"/>
      <c r="T13" s="702" t="s">
        <v>425</v>
      </c>
      <c r="U13" s="703"/>
      <c r="V13" s="702" t="s">
        <v>425</v>
      </c>
      <c r="W13" s="707"/>
      <c r="X13" s="702" t="s">
        <v>425</v>
      </c>
      <c r="Y13" s="703"/>
      <c r="Z13" s="702" t="s">
        <v>425</v>
      </c>
      <c r="AA13" s="707"/>
      <c r="AB13" s="528"/>
      <c r="AP13" s="384"/>
    </row>
    <row r="14" spans="2:42" ht="15" x14ac:dyDescent="0.35">
      <c r="B14" s="30">
        <v>11</v>
      </c>
      <c r="C14" s="503" t="str" cm="1">
        <f t="array" ref="C14">INDEX($N$2:$AA$2,1,$B14)</f>
        <v>Wheeler Maintenance (S) - Existing</v>
      </c>
      <c r="D14" s="514" cm="1">
        <f t="array" aca="1" ref="D14" ca="1">INDEX('Neighborhood - TMY3'!$C$42:$V$42,1,$B14)</f>
        <v>63421.240383887227</v>
      </c>
      <c r="E14" s="515" t="s">
        <v>21</v>
      </c>
      <c r="F14" s="516" cm="1">
        <f t="array" aca="1" ref="F14" ca="1">INDEX('Neighborhood - TMY3'!$C$31:$R$31,1,$B14)</f>
        <v>71.433457247431534</v>
      </c>
      <c r="G14" s="515" t="s">
        <v>21</v>
      </c>
      <c r="H14" s="516" cm="1">
        <f t="array" aca="1" ref="H14" ca="1">INDEX('Neighborhood - TMY3'!$C$46:$R$46,1,$B14)</f>
        <v>335.54251491514231</v>
      </c>
      <c r="I14" s="517" t="s">
        <v>21</v>
      </c>
      <c r="K14" s="29"/>
      <c r="L14" s="29"/>
      <c r="M14" s="420" t="s">
        <v>42</v>
      </c>
      <c r="N14" s="325"/>
      <c r="O14" s="375"/>
      <c r="P14" s="75"/>
      <c r="Q14" s="326"/>
      <c r="R14" s="325"/>
      <c r="S14" s="326"/>
      <c r="T14" s="325"/>
      <c r="U14" s="326"/>
      <c r="V14" s="325"/>
      <c r="W14" s="75"/>
      <c r="X14" s="739"/>
      <c r="Y14" s="740"/>
      <c r="Z14" s="384"/>
      <c r="AA14" s="76"/>
      <c r="AB14" s="527"/>
    </row>
    <row r="15" spans="2:42" ht="36.450000000000003" thickBot="1" x14ac:dyDescent="0.4">
      <c r="B15" s="30">
        <v>12</v>
      </c>
      <c r="C15" s="504" t="str" cm="1">
        <f t="array" ref="C15">INDEX($N$2:$AA$2,1,$B15)</f>
        <v>Wheeler Maintenance (S) - Geo</v>
      </c>
      <c r="D15" s="506" cm="1">
        <f t="array" aca="1" ref="D15" ca="1">INDEX('Neighborhood - TMY3'!$C$42:$V$42,1,$B15)</f>
        <v>66674.363993607083</v>
      </c>
      <c r="E15" s="507">
        <f ca="1">IF(D15=0,"-",1-D15/D$14)</f>
        <v>-5.1293913364493848E-2</v>
      </c>
      <c r="F15" s="508" cm="1">
        <f t="array" aca="1" ref="F15" ca="1">INDEX('Neighborhood - TMY3'!$C$31:$R$31,1,$B15)</f>
        <v>48.425827353536853</v>
      </c>
      <c r="G15" s="507">
        <f ca="1">IF(F15=0,"-",1-F15/F$14)</f>
        <v>0.32208478744351887</v>
      </c>
      <c r="H15" s="508" cm="1">
        <f t="array" aca="1" ref="H15" ca="1">INDEX('Neighborhood - TMY3'!$C$46:$R$46,1,$B15)</f>
        <v>349.6494003385539</v>
      </c>
      <c r="I15" s="509">
        <f ca="1">IF(H15=0,"-",1-H15/H$14)</f>
        <v>-4.2042020895561194E-2</v>
      </c>
      <c r="K15" s="29"/>
      <c r="L15" s="29"/>
      <c r="M15" s="421" t="s">
        <v>43</v>
      </c>
      <c r="N15" s="758" t="s">
        <v>547</v>
      </c>
      <c r="O15" s="759"/>
      <c r="P15" s="383" t="s">
        <v>260</v>
      </c>
      <c r="Q15" s="363" t="s">
        <v>261</v>
      </c>
      <c r="R15" s="361" t="s">
        <v>426</v>
      </c>
      <c r="S15" s="363" t="s">
        <v>261</v>
      </c>
      <c r="T15" s="361" t="s">
        <v>427</v>
      </c>
      <c r="U15" s="363" t="s">
        <v>261</v>
      </c>
      <c r="V15" s="379" t="s">
        <v>549</v>
      </c>
      <c r="W15" s="363" t="s">
        <v>261</v>
      </c>
      <c r="X15" s="368" t="s">
        <v>428</v>
      </c>
      <c r="Y15" s="363" t="s">
        <v>261</v>
      </c>
      <c r="Z15" s="368" t="s">
        <v>429</v>
      </c>
      <c r="AA15" s="363" t="s">
        <v>261</v>
      </c>
      <c r="AB15" s="536" t="s">
        <v>408</v>
      </c>
    </row>
    <row r="16" spans="2:42" ht="12.45" x14ac:dyDescent="0.3">
      <c r="B16" s="30">
        <v>13</v>
      </c>
      <c r="C16" s="503" t="str" cm="1">
        <f t="array" ref="C16">INDEX($N$2:$AA$2,1,$B16)</f>
        <v>Wheeler Vehicle Storage (E) - Existing</v>
      </c>
      <c r="D16" s="514" cm="1">
        <f t="array" aca="1" ref="D16" ca="1">INDEX('Neighborhood - TMY3'!$C$42:$V$42,1,$B16)</f>
        <v>73280.091310861171</v>
      </c>
      <c r="E16" s="515" t="s">
        <v>21</v>
      </c>
      <c r="F16" s="516" cm="1">
        <f t="array" aca="1" ref="F16" ca="1">INDEX('Neighborhood - TMY3'!$C$31:$R$31,1,$B16)</f>
        <v>72.336791055145781</v>
      </c>
      <c r="G16" s="515" t="s">
        <v>21</v>
      </c>
      <c r="H16" s="516" cm="1">
        <f t="array" aca="1" ref="H16" ca="1">INDEX('Neighborhood - TMY3'!$C$46:$R$46,1,$B16)</f>
        <v>386.88251519724548</v>
      </c>
      <c r="I16" s="517" t="s">
        <v>21</v>
      </c>
      <c r="L16"/>
      <c r="M16" s="421" t="s">
        <v>50</v>
      </c>
      <c r="N16" s="760"/>
      <c r="O16" s="761"/>
      <c r="P16" s="418" t="s">
        <v>430</v>
      </c>
      <c r="Q16" s="369" t="s">
        <v>263</v>
      </c>
      <c r="R16" s="361" t="s">
        <v>431</v>
      </c>
      <c r="S16" s="369" t="s">
        <v>263</v>
      </c>
      <c r="T16" s="364" t="s">
        <v>431</v>
      </c>
      <c r="U16" s="369" t="s">
        <v>263</v>
      </c>
      <c r="V16" s="378" t="s">
        <v>432</v>
      </c>
      <c r="W16" s="369" t="s">
        <v>263</v>
      </c>
      <c r="X16" s="381" t="s">
        <v>433</v>
      </c>
      <c r="Y16" s="369" t="s">
        <v>263</v>
      </c>
      <c r="Z16" s="367" t="s">
        <v>425</v>
      </c>
      <c r="AA16" s="369" t="s">
        <v>263</v>
      </c>
      <c r="AB16" s="536" t="s">
        <v>412</v>
      </c>
    </row>
    <row r="17" spans="1:28" ht="24.45" thickBot="1" x14ac:dyDescent="0.35">
      <c r="B17" s="30">
        <v>14</v>
      </c>
      <c r="C17" s="504" t="str" cm="1">
        <f t="array" ref="C17">INDEX($N$2:$AA$2,1,$B17)</f>
        <v>Wheeler Vehicle Storage (E) - Geo</v>
      </c>
      <c r="D17" s="506" cm="1">
        <f t="array" aca="1" ref="D17" ca="1">INDEX('Neighborhood - TMY3'!$C$42:$V$42,1,$B17)</f>
        <v>71869.444187560744</v>
      </c>
      <c r="E17" s="507">
        <f ca="1">IF(D17=0,"-",1-D17/D$16)</f>
        <v>1.9250073219973518E-2</v>
      </c>
      <c r="F17" s="508" cm="1">
        <f t="array" aca="1" ref="F17" ca="1">INDEX('Neighborhood - TMY3'!$C$31:$R$31,1,$B17)</f>
        <v>49.906021842744757</v>
      </c>
      <c r="G17" s="507">
        <f ca="1">IF(F17=0,"-",1-F17/F$16)</f>
        <v>0.31008797715813774</v>
      </c>
      <c r="H17" s="508" cm="1">
        <f t="array" aca="1" ref="H17" ca="1">INDEX('Neighborhood - TMY3'!$C$46:$R$46,1,$B17)</f>
        <v>376.87951053781728</v>
      </c>
      <c r="I17" s="509">
        <f ca="1">IF(H17=0,"-",1-H17/H$16)</f>
        <v>2.585540639986883E-2</v>
      </c>
      <c r="L17"/>
      <c r="M17" s="421" t="s">
        <v>54</v>
      </c>
      <c r="N17" s="760"/>
      <c r="O17" s="761"/>
      <c r="P17" s="382" t="s">
        <v>434</v>
      </c>
      <c r="Q17" s="369" t="s">
        <v>267</v>
      </c>
      <c r="R17" s="380" t="s">
        <v>435</v>
      </c>
      <c r="S17" s="369" t="s">
        <v>267</v>
      </c>
      <c r="T17" s="378" t="s">
        <v>436</v>
      </c>
      <c r="U17" s="369" t="s">
        <v>267</v>
      </c>
      <c r="V17" s="379" t="s">
        <v>437</v>
      </c>
      <c r="W17" s="369" t="s">
        <v>267</v>
      </c>
      <c r="X17" s="368" t="s">
        <v>438</v>
      </c>
      <c r="Y17" s="369" t="s">
        <v>267</v>
      </c>
      <c r="Z17" s="387" t="s">
        <v>439</v>
      </c>
      <c r="AA17" s="369" t="s">
        <v>267</v>
      </c>
      <c r="AB17" s="536" t="s">
        <v>414</v>
      </c>
    </row>
    <row r="18" spans="1:28" ht="36" customHeight="1" thickBot="1" x14ac:dyDescent="0.35">
      <c r="A18"/>
      <c r="B18" s="30">
        <v>15</v>
      </c>
      <c r="C18" s="505" t="str" cm="1">
        <f t="array" ref="C18">INDEX($N$2:$AC$2,1,$B18)</f>
        <v>Central Geo Pumping (Homes Only)</v>
      </c>
      <c r="D18" s="520" cm="1">
        <f t="array" aca="1" ref="D18" ca="1">INDEX('Neighborhood - TMY3'!$C$42:$V$42,1,$B18)</f>
        <v>111466.26318682</v>
      </c>
      <c r="E18" s="521" t="s">
        <v>21</v>
      </c>
      <c r="F18" s="522" cm="1">
        <f t="array" aca="1" ref="F18" ca="1">INDEX('Neighborhood - TMY3'!$C$31:$V$31,1,$B18)</f>
        <v>75.100329007791899</v>
      </c>
      <c r="G18" s="521" t="s">
        <v>21</v>
      </c>
      <c r="H18" s="523" cm="1">
        <f t="array" aca="1" ref="H18" ca="1">INDEX('Neighborhood - TMY3'!$C$46:$V$46,1,$B18)</f>
        <v>589.57546183426678</v>
      </c>
      <c r="I18" s="524" t="s">
        <v>21</v>
      </c>
      <c r="K18"/>
      <c r="L18"/>
      <c r="M18" s="423" t="s">
        <v>58</v>
      </c>
      <c r="N18" s="762"/>
      <c r="O18" s="763"/>
      <c r="P18" s="708" t="s">
        <v>271</v>
      </c>
      <c r="Q18" s="709"/>
      <c r="R18" s="735" t="s">
        <v>546</v>
      </c>
      <c r="S18" s="736"/>
      <c r="T18" s="664" t="s">
        <v>440</v>
      </c>
      <c r="U18" s="666"/>
      <c r="V18" s="737" t="s">
        <v>546</v>
      </c>
      <c r="W18" s="738"/>
      <c r="X18" s="737" t="s">
        <v>546</v>
      </c>
      <c r="Y18" s="738"/>
      <c r="Z18" s="737" t="s">
        <v>546</v>
      </c>
      <c r="AA18" s="738"/>
      <c r="AB18" s="528"/>
    </row>
    <row r="19" spans="1:28" ht="15" x14ac:dyDescent="0.35">
      <c r="A19"/>
      <c r="B19"/>
      <c r="C19"/>
      <c r="D19"/>
      <c r="E19"/>
      <c r="F19"/>
      <c r="G19"/>
      <c r="H19"/>
      <c r="I19"/>
      <c r="K19" s="29"/>
      <c r="L19" s="29"/>
      <c r="M19" s="420" t="s">
        <v>61</v>
      </c>
      <c r="N19" s="325"/>
      <c r="O19" s="326"/>
      <c r="P19" s="75"/>
      <c r="Q19" s="326"/>
      <c r="R19" s="325"/>
      <c r="S19" s="326"/>
      <c r="T19" s="325"/>
      <c r="U19" s="326"/>
      <c r="V19" s="325"/>
      <c r="W19" s="75"/>
      <c r="X19" s="739"/>
      <c r="Y19" s="740"/>
      <c r="Z19" s="325"/>
      <c r="AA19" s="525"/>
      <c r="AB19" s="527"/>
    </row>
    <row r="20" spans="1:28" ht="24" customHeight="1" x14ac:dyDescent="0.35">
      <c r="A20"/>
      <c r="B20"/>
      <c r="C20"/>
      <c r="D20"/>
      <c r="E20"/>
      <c r="F20"/>
      <c r="G20"/>
      <c r="H20"/>
      <c r="I20"/>
      <c r="K20" s="29"/>
      <c r="L20" s="29"/>
      <c r="M20" s="424" t="s">
        <v>64</v>
      </c>
      <c r="N20" s="748" t="s">
        <v>547</v>
      </c>
      <c r="O20" s="749"/>
      <c r="P20" s="686" t="s">
        <v>441</v>
      </c>
      <c r="Q20" s="687"/>
      <c r="R20" s="694" t="s">
        <v>442</v>
      </c>
      <c r="S20" s="695"/>
      <c r="T20" s="743" t="s">
        <v>443</v>
      </c>
      <c r="U20" s="744"/>
      <c r="V20" s="741" t="s">
        <v>444</v>
      </c>
      <c r="W20" s="682"/>
      <c r="X20" s="745" t="s">
        <v>444</v>
      </c>
      <c r="Y20" s="747"/>
      <c r="Z20" s="745" t="s">
        <v>444</v>
      </c>
      <c r="AA20" s="746"/>
      <c r="AB20" s="528"/>
    </row>
    <row r="21" spans="1:28" ht="16.5" customHeight="1" thickBot="1" x14ac:dyDescent="0.4">
      <c r="K21" s="29"/>
      <c r="L21" s="29"/>
      <c r="M21" s="425" t="s">
        <v>218</v>
      </c>
      <c r="N21" s="750"/>
      <c r="O21" s="751"/>
      <c r="P21" s="688" t="s">
        <v>445</v>
      </c>
      <c r="Q21" s="689"/>
      <c r="R21" s="696" t="s">
        <v>446</v>
      </c>
      <c r="S21" s="697"/>
      <c r="T21" s="696" t="s">
        <v>447</v>
      </c>
      <c r="U21" s="697"/>
      <c r="V21" s="696" t="s">
        <v>448</v>
      </c>
      <c r="W21" s="742"/>
      <c r="X21" s="696" t="s">
        <v>449</v>
      </c>
      <c r="Y21" s="697"/>
      <c r="Z21" s="696" t="s">
        <v>449</v>
      </c>
      <c r="AA21" s="742"/>
      <c r="AB21" s="529"/>
    </row>
    <row r="22" spans="1:28" ht="16.5" customHeight="1" x14ac:dyDescent="0.3">
      <c r="M22"/>
      <c r="N22"/>
      <c r="O22"/>
      <c r="P22"/>
      <c r="Q22"/>
      <c r="R22"/>
      <c r="S22"/>
      <c r="T22"/>
      <c r="U22"/>
      <c r="V22"/>
    </row>
    <row r="23" spans="1:28" ht="16.5" customHeight="1" x14ac:dyDescent="0.3">
      <c r="M23"/>
      <c r="O23"/>
      <c r="P23"/>
      <c r="Q23"/>
      <c r="R23"/>
      <c r="T23"/>
      <c r="U23"/>
      <c r="V23"/>
    </row>
    <row r="24" spans="1:28" ht="12.9" thickBot="1" x14ac:dyDescent="0.35">
      <c r="M24"/>
      <c r="N24"/>
      <c r="O24"/>
      <c r="P24"/>
      <c r="Q24"/>
      <c r="R24"/>
      <c r="S24"/>
      <c r="T24"/>
      <c r="U24"/>
      <c r="V24"/>
    </row>
    <row r="25" spans="1:28" ht="12.45" x14ac:dyDescent="0.3">
      <c r="C25" s="767" t="s">
        <v>49</v>
      </c>
      <c r="D25" s="768"/>
      <c r="E25" s="768"/>
      <c r="F25" s="768"/>
      <c r="G25" s="768"/>
      <c r="H25" s="768"/>
      <c r="I25" s="768"/>
      <c r="J25" s="769"/>
      <c r="M25"/>
      <c r="N25"/>
      <c r="O25"/>
      <c r="P25"/>
      <c r="Q25"/>
      <c r="R25"/>
      <c r="S25"/>
      <c r="T25"/>
      <c r="U25"/>
      <c r="V25"/>
    </row>
    <row r="26" spans="1:28" x14ac:dyDescent="0.3">
      <c r="C26" s="398" t="s">
        <v>52</v>
      </c>
      <c r="D26" s="678" t="s">
        <v>278</v>
      </c>
      <c r="E26" s="678"/>
      <c r="F26" s="678"/>
      <c r="G26" s="678"/>
      <c r="H26" s="678"/>
      <c r="I26" s="678"/>
      <c r="J26" s="679"/>
    </row>
    <row r="27" spans="1:28" x14ac:dyDescent="0.3">
      <c r="C27" s="398" t="s">
        <v>56</v>
      </c>
      <c r="D27" s="44" t="s">
        <v>450</v>
      </c>
      <c r="E27" s="44" t="s">
        <v>156</v>
      </c>
      <c r="F27" s="44" t="s">
        <v>451</v>
      </c>
      <c r="G27" s="44" t="s">
        <v>452</v>
      </c>
      <c r="H27" s="44" t="s">
        <v>453</v>
      </c>
      <c r="I27" s="44" t="s">
        <v>454</v>
      </c>
      <c r="J27" s="399" t="s">
        <v>455</v>
      </c>
    </row>
    <row r="28" spans="1:28" ht="13.75" x14ac:dyDescent="0.3">
      <c r="C28" s="398" t="s">
        <v>60</v>
      </c>
      <c r="D28" s="385">
        <v>219446.43</v>
      </c>
      <c r="E28" s="385">
        <v>4454</v>
      </c>
      <c r="F28" s="385">
        <v>56175</v>
      </c>
      <c r="G28" s="385">
        <v>31278</v>
      </c>
      <c r="H28" s="385">
        <v>40823.980000000003</v>
      </c>
      <c r="I28" s="385">
        <v>42604.160000000003</v>
      </c>
      <c r="J28" s="400">
        <v>67506</v>
      </c>
    </row>
    <row r="29" spans="1:28" ht="12.45" thickBot="1" x14ac:dyDescent="0.35">
      <c r="C29" s="401" t="s">
        <v>62</v>
      </c>
      <c r="D29" s="402">
        <v>1</v>
      </c>
      <c r="E29" s="402">
        <v>1</v>
      </c>
      <c r="F29" s="402">
        <v>1</v>
      </c>
      <c r="G29" s="402">
        <v>1</v>
      </c>
      <c r="H29" s="402">
        <v>1</v>
      </c>
      <c r="I29" s="402">
        <v>1</v>
      </c>
      <c r="J29" s="403">
        <v>1</v>
      </c>
    </row>
    <row r="30" spans="1:28" ht="12.45" x14ac:dyDescent="0.3">
      <c r="C30"/>
      <c r="D30"/>
    </row>
    <row r="31" spans="1:28" ht="12.45" x14ac:dyDescent="0.3">
      <c r="C31"/>
      <c r="D31"/>
    </row>
    <row r="32" spans="1:28" ht="12.45" x14ac:dyDescent="0.3">
      <c r="C32"/>
      <c r="D32"/>
      <c r="F32"/>
      <c r="M32" s="28" t="s">
        <v>87</v>
      </c>
      <c r="N32" s="28" t="s">
        <v>87</v>
      </c>
      <c r="O32" s="28" t="s">
        <v>87</v>
      </c>
      <c r="P32" s="28" t="s">
        <v>87</v>
      </c>
      <c r="Q32" s="28" t="s">
        <v>87</v>
      </c>
      <c r="R32" s="28" t="s">
        <v>87</v>
      </c>
      <c r="V32" s="28" t="s">
        <v>87</v>
      </c>
      <c r="W32" s="28" t="s">
        <v>87</v>
      </c>
      <c r="X32" s="28" t="s">
        <v>87</v>
      </c>
      <c r="Y32" s="28" t="s">
        <v>87</v>
      </c>
      <c r="Z32" s="28" t="s">
        <v>87</v>
      </c>
      <c r="AA32" s="28" t="s">
        <v>87</v>
      </c>
      <c r="AB32" s="28" t="s">
        <v>87</v>
      </c>
    </row>
    <row r="33" spans="3:22" ht="12.9" thickBot="1" x14ac:dyDescent="0.35">
      <c r="F33"/>
    </row>
    <row r="34" spans="3:22" ht="12.45" x14ac:dyDescent="0.3">
      <c r="C34" s="415" t="s">
        <v>74</v>
      </c>
      <c r="D34" s="764" t="s">
        <v>281</v>
      </c>
      <c r="E34" s="765"/>
      <c r="F34" s="765"/>
      <c r="G34" s="766"/>
      <c r="H34" s="764" t="s">
        <v>456</v>
      </c>
      <c r="I34" s="765"/>
      <c r="J34" s="765"/>
      <c r="K34" s="766"/>
    </row>
    <row r="35" spans="3:22" x14ac:dyDescent="0.3">
      <c r="C35" s="416" t="s">
        <v>76</v>
      </c>
      <c r="D35" s="393">
        <f>F35/3.415</f>
        <v>5.751098096632503E-2</v>
      </c>
      <c r="E35" s="32" t="s">
        <v>77</v>
      </c>
      <c r="F35" s="196">
        <f>'Homes - Inputs'!F35</f>
        <v>0.19639999999999999</v>
      </c>
      <c r="G35" s="386" t="s">
        <v>78</v>
      </c>
      <c r="H35" s="393">
        <f>J35/3.415</f>
        <v>3.6486090775988286E-2</v>
      </c>
      <c r="I35" s="32" t="s">
        <v>77</v>
      </c>
      <c r="J35" s="393">
        <v>0.1246</v>
      </c>
      <c r="K35" s="386" t="s">
        <v>78</v>
      </c>
    </row>
    <row r="36" spans="3:22" ht="12.45" thickBot="1" x14ac:dyDescent="0.35">
      <c r="C36" s="417" t="s">
        <v>79</v>
      </c>
      <c r="D36" s="394">
        <f>F36/100</f>
        <v>7.8998073217726398E-3</v>
      </c>
      <c r="E36" s="395" t="s">
        <v>77</v>
      </c>
      <c r="F36" s="396">
        <f>'Homes - Inputs'!F36</f>
        <v>0.78998073217726394</v>
      </c>
      <c r="G36" s="397" t="s">
        <v>80</v>
      </c>
      <c r="H36" s="394">
        <f>J36/100</f>
        <v>9.7195357833655717E-3</v>
      </c>
      <c r="I36" s="395" t="s">
        <v>77</v>
      </c>
      <c r="J36" s="394">
        <f>10.05/10.34</f>
        <v>0.97195357833655716</v>
      </c>
      <c r="K36" s="397" t="s">
        <v>457</v>
      </c>
    </row>
    <row r="37" spans="3:22" x14ac:dyDescent="0.3">
      <c r="C37" s="404" t="s">
        <v>81</v>
      </c>
      <c r="D37" s="390">
        <f>F37/100</f>
        <v>0</v>
      </c>
      <c r="E37" s="391" t="s">
        <v>77</v>
      </c>
      <c r="F37" s="392"/>
      <c r="G37" s="391" t="s">
        <v>80</v>
      </c>
    </row>
    <row r="38" spans="3:22" x14ac:dyDescent="0.3">
      <c r="C38" s="31" t="s">
        <v>82</v>
      </c>
      <c r="D38" s="98">
        <f>F38/100</f>
        <v>0</v>
      </c>
      <c r="E38" s="32" t="s">
        <v>77</v>
      </c>
      <c r="F38" s="314"/>
      <c r="G38" s="32" t="s">
        <v>80</v>
      </c>
    </row>
    <row r="39" spans="3:22" x14ac:dyDescent="0.3">
      <c r="C39" s="31" t="s">
        <v>83</v>
      </c>
      <c r="D39" s="98">
        <f>F39/100</f>
        <v>0</v>
      </c>
      <c r="E39" s="32" t="s">
        <v>77</v>
      </c>
      <c r="F39" s="314"/>
      <c r="G39" s="32" t="s">
        <v>80</v>
      </c>
    </row>
    <row r="40" spans="3:22" ht="12.45" thickBot="1" x14ac:dyDescent="0.35"/>
    <row r="41" spans="3:22" ht="12.45" x14ac:dyDescent="0.3">
      <c r="C41" s="407" t="s">
        <v>84</v>
      </c>
      <c r="D41" s="408" t="s">
        <v>85</v>
      </c>
      <c r="E41" s="409" t="s">
        <v>86</v>
      </c>
    </row>
    <row r="42" spans="3:22" x14ac:dyDescent="0.3">
      <c r="C42" s="410" t="s">
        <v>76</v>
      </c>
      <c r="D42" s="163">
        <f>'Homes - Inputs'!D42</f>
        <v>1438.38</v>
      </c>
      <c r="E42" s="411">
        <f>D42/2204/1000/3.415</f>
        <v>1.9110468654090927E-4</v>
      </c>
    </row>
    <row r="43" spans="3:22" ht="12.45" thickBot="1" x14ac:dyDescent="0.35">
      <c r="C43" s="412" t="s">
        <v>79</v>
      </c>
      <c r="D43" s="413" t="s">
        <v>21</v>
      </c>
      <c r="E43" s="414">
        <v>5.3000000000000001E-5</v>
      </c>
    </row>
    <row r="44" spans="3:22" x14ac:dyDescent="0.3">
      <c r="C44" s="404" t="s">
        <v>81</v>
      </c>
      <c r="D44" s="405" t="s">
        <v>21</v>
      </c>
      <c r="E44" s="406"/>
    </row>
    <row r="45" spans="3:22" ht="12.45" x14ac:dyDescent="0.3">
      <c r="C45" s="31" t="s">
        <v>82</v>
      </c>
      <c r="D45" s="90" t="s">
        <v>21</v>
      </c>
      <c r="E45" s="89"/>
      <c r="O45" s="73"/>
      <c r="P45" s="73"/>
      <c r="Q45" s="73"/>
      <c r="R45" s="73"/>
      <c r="S45" s="73"/>
      <c r="T45" s="73"/>
      <c r="U45" s="73"/>
      <c r="V45" s="73"/>
    </row>
    <row r="46" spans="3:22" x14ac:dyDescent="0.3">
      <c r="C46" s="31" t="s">
        <v>83</v>
      </c>
      <c r="D46" s="15" t="s">
        <v>21</v>
      </c>
      <c r="E46" s="89"/>
    </row>
    <row r="48" spans="3:22" ht="12.45" x14ac:dyDescent="0.3">
      <c r="E48"/>
      <c r="F48"/>
      <c r="G48"/>
      <c r="H48"/>
    </row>
    <row r="49" spans="5:16" ht="12.45" x14ac:dyDescent="0.3">
      <c r="E49"/>
      <c r="F49"/>
      <c r="G49"/>
      <c r="H49"/>
    </row>
    <row r="50" spans="5:16" ht="12.45" x14ac:dyDescent="0.3">
      <c r="E50"/>
      <c r="F50"/>
      <c r="G50"/>
      <c r="H50"/>
    </row>
    <row r="51" spans="5:16" ht="12.45" x14ac:dyDescent="0.3">
      <c r="E51"/>
      <c r="F51"/>
      <c r="G51"/>
      <c r="H51"/>
    </row>
    <row r="52" spans="5:16" ht="12.45" x14ac:dyDescent="0.3">
      <c r="E52"/>
      <c r="F52"/>
      <c r="G52"/>
      <c r="H52"/>
    </row>
    <row r="53" spans="5:16" ht="12.45" x14ac:dyDescent="0.3">
      <c r="E53"/>
      <c r="F53"/>
      <c r="G53"/>
      <c r="H53"/>
    </row>
    <row r="54" spans="5:16" ht="12.45" x14ac:dyDescent="0.3">
      <c r="E54"/>
      <c r="F54"/>
      <c r="G54"/>
      <c r="H54"/>
    </row>
    <row r="55" spans="5:16" ht="12.45" x14ac:dyDescent="0.3">
      <c r="E55"/>
      <c r="F55"/>
      <c r="G55"/>
      <c r="H55"/>
    </row>
    <row r="56" spans="5:16" ht="12.45" x14ac:dyDescent="0.3">
      <c r="E56"/>
      <c r="F56"/>
      <c r="G56"/>
      <c r="H56"/>
    </row>
    <row r="58" spans="5:16" ht="12.45" x14ac:dyDescent="0.3">
      <c r="M58"/>
      <c r="N58"/>
      <c r="O58"/>
      <c r="P58"/>
    </row>
    <row r="59" spans="5:16" ht="12.45" x14ac:dyDescent="0.3">
      <c r="M59"/>
      <c r="N59"/>
      <c r="O59"/>
      <c r="P59"/>
    </row>
    <row r="60" spans="5:16" ht="12.45" x14ac:dyDescent="0.3">
      <c r="M60"/>
      <c r="N60"/>
      <c r="O60"/>
      <c r="P60"/>
    </row>
    <row r="61" spans="5:16" ht="12.45" x14ac:dyDescent="0.3">
      <c r="M61"/>
      <c r="N61"/>
      <c r="O61"/>
      <c r="P61"/>
    </row>
    <row r="62" spans="5:16" ht="12.45" x14ac:dyDescent="0.3">
      <c r="M62"/>
      <c r="N62"/>
      <c r="O62"/>
      <c r="P62"/>
    </row>
    <row r="63" spans="5:16" ht="12.45" x14ac:dyDescent="0.3">
      <c r="M63"/>
      <c r="N63"/>
      <c r="O63"/>
      <c r="P63"/>
    </row>
    <row r="64" spans="5:16" ht="12.45" x14ac:dyDescent="0.3">
      <c r="M64"/>
      <c r="N64"/>
      <c r="O64"/>
      <c r="P64"/>
    </row>
    <row r="65" spans="13:21" ht="12.45" x14ac:dyDescent="0.3">
      <c r="M65"/>
      <c r="N65"/>
      <c r="O65"/>
      <c r="P65"/>
    </row>
    <row r="66" spans="13:21" ht="12.45" x14ac:dyDescent="0.3">
      <c r="P66" s="182"/>
      <c r="Q66" s="182"/>
      <c r="R66" s="182"/>
      <c r="U66" s="183"/>
    </row>
    <row r="67" spans="13:21" ht="12.45" x14ac:dyDescent="0.3">
      <c r="P67" s="182"/>
      <c r="Q67" s="182"/>
      <c r="R67" s="182"/>
    </row>
  </sheetData>
  <mergeCells count="86">
    <mergeCell ref="N20:O21"/>
    <mergeCell ref="N4:O9"/>
    <mergeCell ref="N11:O13"/>
    <mergeCell ref="N15:O18"/>
    <mergeCell ref="D34:G34"/>
    <mergeCell ref="H34:K34"/>
    <mergeCell ref="C25:J25"/>
    <mergeCell ref="Z13:AA13"/>
    <mergeCell ref="V20:W20"/>
    <mergeCell ref="V21:W21"/>
    <mergeCell ref="T20:U20"/>
    <mergeCell ref="T21:U21"/>
    <mergeCell ref="Z18:AA18"/>
    <mergeCell ref="Z20:AA20"/>
    <mergeCell ref="Z21:AA21"/>
    <mergeCell ref="X20:Y20"/>
    <mergeCell ref="X21:Y21"/>
    <mergeCell ref="X19:Y19"/>
    <mergeCell ref="T13:U13"/>
    <mergeCell ref="V13:W13"/>
    <mergeCell ref="X13:Y13"/>
    <mergeCell ref="R18:S18"/>
    <mergeCell ref="T18:U18"/>
    <mergeCell ref="X18:Y18"/>
    <mergeCell ref="V18:W18"/>
    <mergeCell ref="X14:Y14"/>
    <mergeCell ref="V9:W9"/>
    <mergeCell ref="V11:W11"/>
    <mergeCell ref="V12:W12"/>
    <mergeCell ref="X11:Y11"/>
    <mergeCell ref="X12:Y12"/>
    <mergeCell ref="V4:W4"/>
    <mergeCell ref="V5:W5"/>
    <mergeCell ref="V6:W6"/>
    <mergeCell ref="V7:W7"/>
    <mergeCell ref="V8:W8"/>
    <mergeCell ref="Z9:AA9"/>
    <mergeCell ref="Z11:AA11"/>
    <mergeCell ref="Z12:AA12"/>
    <mergeCell ref="X4:Y4"/>
    <mergeCell ref="X5:Y5"/>
    <mergeCell ref="X6:Y6"/>
    <mergeCell ref="X7:Y7"/>
    <mergeCell ref="X8:Y8"/>
    <mergeCell ref="X9:Y9"/>
    <mergeCell ref="Z4:AA4"/>
    <mergeCell ref="Z5:AA5"/>
    <mergeCell ref="Z6:AA6"/>
    <mergeCell ref="Z7:AA7"/>
    <mergeCell ref="Z8:AA8"/>
    <mergeCell ref="T9:U9"/>
    <mergeCell ref="T11:U11"/>
    <mergeCell ref="T12:U12"/>
    <mergeCell ref="R11:S11"/>
    <mergeCell ref="R12:S12"/>
    <mergeCell ref="T4:U4"/>
    <mergeCell ref="T5:U5"/>
    <mergeCell ref="T6:U6"/>
    <mergeCell ref="T7:U7"/>
    <mergeCell ref="T8:U8"/>
    <mergeCell ref="P20:Q20"/>
    <mergeCell ref="P21:Q21"/>
    <mergeCell ref="R4:S4"/>
    <mergeCell ref="R5:S5"/>
    <mergeCell ref="R6:S6"/>
    <mergeCell ref="R7:S7"/>
    <mergeCell ref="R20:S20"/>
    <mergeCell ref="R21:S21"/>
    <mergeCell ref="R8:S8"/>
    <mergeCell ref="R9:S9"/>
    <mergeCell ref="R13:S13"/>
    <mergeCell ref="P9:Q9"/>
    <mergeCell ref="P11:Q11"/>
    <mergeCell ref="P12:Q12"/>
    <mergeCell ref="P13:Q13"/>
    <mergeCell ref="P18:Q18"/>
    <mergeCell ref="P4:Q4"/>
    <mergeCell ref="P5:Q5"/>
    <mergeCell ref="P6:Q6"/>
    <mergeCell ref="P7:Q7"/>
    <mergeCell ref="P8:Q8"/>
    <mergeCell ref="C2:C3"/>
    <mergeCell ref="D2:E2"/>
    <mergeCell ref="F2:G2"/>
    <mergeCell ref="H2:I2"/>
    <mergeCell ref="D26:J26"/>
  </mergeCells>
  <phoneticPr fontId="22" type="noConversion"/>
  <pageMargins left="0.7" right="0.7" top="0.75" bottom="0.75" header="0.3" footer="0.3"/>
  <pageSetup orientation="portrait"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4B9B0-39B0-438C-90B3-B765F2A3A4C4}">
  <sheetPr>
    <tabColor theme="5" tint="0.59999389629810485"/>
  </sheetPr>
  <dimension ref="B1:EO117"/>
  <sheetViews>
    <sheetView zoomScale="50" zoomScaleNormal="50" workbookViewId="0">
      <selection activeCell="V96" sqref="V96"/>
    </sheetView>
  </sheetViews>
  <sheetFormatPr defaultRowHeight="12.45" x14ac:dyDescent="0.3"/>
  <cols>
    <col min="1" max="1" width="4.3828125" customWidth="1"/>
    <col min="2" max="2" width="23.69140625" bestFit="1" customWidth="1"/>
    <col min="3" max="3" width="20.69140625" bestFit="1" customWidth="1"/>
    <col min="4" max="4" width="12" bestFit="1" customWidth="1"/>
    <col min="5" max="6" width="12" customWidth="1"/>
    <col min="7" max="7" width="11.3046875" customWidth="1"/>
    <col min="8" max="8" width="11.69140625" bestFit="1" customWidth="1"/>
    <col min="9" max="9" width="12.3046875" bestFit="1" customWidth="1"/>
    <col min="10" max="10" width="12.3828125" bestFit="1" customWidth="1"/>
    <col min="11" max="11" width="10.15234375" bestFit="1" customWidth="1"/>
    <col min="12" max="12" width="12.3828125" bestFit="1" customWidth="1"/>
    <col min="13" max="13" width="11.84375" customWidth="1"/>
    <col min="14" max="14" width="12.3828125" bestFit="1" customWidth="1"/>
    <col min="15" max="15" width="15" bestFit="1" customWidth="1"/>
    <col min="16" max="16" width="13" bestFit="1" customWidth="1"/>
    <col min="17" max="17" width="11.69140625" bestFit="1" customWidth="1"/>
    <col min="18" max="18" width="12.3828125" bestFit="1" customWidth="1"/>
    <col min="19" max="20" width="11.69140625" customWidth="1"/>
    <col min="21" max="21" width="17.69140625" bestFit="1" customWidth="1"/>
    <col min="22" max="22" width="16.3046875" customWidth="1"/>
    <col min="23" max="23" width="25.53515625" bestFit="1" customWidth="1"/>
    <col min="24" max="24" width="25.53515625" customWidth="1"/>
    <col min="25" max="25" width="24.53515625" bestFit="1" customWidth="1"/>
    <col min="26" max="26" width="25.53515625" customWidth="1"/>
    <col min="27" max="27" width="16.53515625" bestFit="1" customWidth="1"/>
    <col min="28" max="28" width="11.15234375" bestFit="1" customWidth="1"/>
    <col min="29" max="29" width="12.15234375" bestFit="1" customWidth="1"/>
    <col min="30" max="30" width="9.3828125" hidden="1" customWidth="1"/>
    <col min="31" max="32" width="11.3828125" hidden="1" customWidth="1"/>
    <col min="33" max="33" width="11.15234375" bestFit="1" customWidth="1"/>
    <col min="34" max="34" width="6" bestFit="1" customWidth="1"/>
    <col min="35" max="35" width="16.53515625" bestFit="1" customWidth="1"/>
    <col min="36" max="37" width="11.15234375" bestFit="1" customWidth="1"/>
    <col min="38" max="38" width="9.3828125" hidden="1" customWidth="1"/>
    <col min="39" max="40" width="11.3828125" hidden="1" customWidth="1"/>
    <col min="41" max="41" width="9.69140625" bestFit="1" customWidth="1"/>
    <col min="42" max="42" width="3.53515625" bestFit="1" customWidth="1"/>
    <col min="43" max="43" width="16.53515625" bestFit="1" customWidth="1"/>
    <col min="44" max="44" width="15.15234375" bestFit="1" customWidth="1"/>
    <col min="45" max="45" width="11.15234375" bestFit="1" customWidth="1"/>
    <col min="46" max="46" width="9.3828125" hidden="1" customWidth="1"/>
    <col min="47" max="48" width="11.3828125" hidden="1" customWidth="1"/>
    <col min="49" max="49" width="8" bestFit="1" customWidth="1"/>
    <col min="50" max="50" width="6.15234375" bestFit="1" customWidth="1"/>
    <col min="51" max="51" width="15.84375" customWidth="1"/>
    <col min="52" max="52" width="10.3828125" bestFit="1" customWidth="1"/>
    <col min="53" max="53" width="10.69140625" bestFit="1" customWidth="1"/>
    <col min="54" max="54" width="9" hidden="1" customWidth="1"/>
    <col min="55" max="56" width="10.53515625" hidden="1" customWidth="1"/>
    <col min="57" max="57" width="9" bestFit="1" customWidth="1"/>
    <col min="58" max="58" width="6.15234375" bestFit="1" customWidth="1"/>
    <col min="59" max="59" width="16.53515625" bestFit="1" customWidth="1"/>
    <col min="60" max="61" width="11" bestFit="1" customWidth="1"/>
    <col min="62" max="62" width="9.3828125" hidden="1" customWidth="1"/>
    <col min="63" max="63" width="11.3828125" hidden="1" customWidth="1"/>
    <col min="64" max="64" width="11" hidden="1" customWidth="1"/>
    <col min="65" max="65" width="12.3046875" bestFit="1" customWidth="1"/>
    <col min="66" max="66" width="6" bestFit="1" customWidth="1"/>
    <col min="67" max="67" width="16.53515625" bestFit="1" customWidth="1"/>
    <col min="68" max="68" width="12.3046875" bestFit="1" customWidth="1"/>
    <col min="69" max="69" width="10.53515625" bestFit="1" customWidth="1"/>
    <col min="70" max="70" width="9.3046875" hidden="1" customWidth="1"/>
    <col min="71" max="72" width="11.3046875" hidden="1" customWidth="1"/>
    <col min="73" max="73" width="10" bestFit="1" customWidth="1"/>
    <col min="74" max="74" width="6.3046875" bestFit="1" customWidth="1"/>
    <col min="75" max="75" width="16.53515625" bestFit="1" customWidth="1"/>
    <col min="76" max="76" width="10.53515625" bestFit="1" customWidth="1"/>
    <col min="77" max="77" width="11.53515625" bestFit="1" customWidth="1"/>
    <col min="78" max="78" width="9.3046875" hidden="1" customWidth="1"/>
    <col min="79" max="80" width="11.3046875" hidden="1" customWidth="1"/>
    <col min="81" max="81" width="10.3046875" bestFit="1" customWidth="1"/>
    <col min="82" max="82" width="4.84375" bestFit="1" customWidth="1"/>
    <col min="83" max="83" width="16.53515625" bestFit="1" customWidth="1"/>
    <col min="84" max="85" width="11.3828125" bestFit="1" customWidth="1"/>
    <col min="86" max="86" width="9.3046875" hidden="1" customWidth="1"/>
    <col min="87" max="88" width="11.3046875" hidden="1" customWidth="1"/>
    <col min="89" max="89" width="9.3046875" bestFit="1" customWidth="1"/>
    <col min="90" max="90" width="6.53515625" customWidth="1"/>
    <col min="91" max="91" width="16.53515625" bestFit="1" customWidth="1"/>
    <col min="92" max="92" width="10.69140625" bestFit="1" customWidth="1"/>
    <col min="93" max="93" width="10.53515625" bestFit="1" customWidth="1"/>
    <col min="94" max="94" width="9.3046875" hidden="1" customWidth="1"/>
    <col min="95" max="96" width="11.3046875" hidden="1" customWidth="1"/>
    <col min="97" max="97" width="8.3828125" bestFit="1" customWidth="1"/>
    <col min="98" max="98" width="2.84375" bestFit="1" customWidth="1"/>
    <col min="99" max="99" width="16.53515625" bestFit="1" customWidth="1"/>
    <col min="100" max="101" width="11.3828125" bestFit="1" customWidth="1"/>
    <col min="102" max="102" width="9.3046875" hidden="1" customWidth="1"/>
    <col min="103" max="104" width="11.3046875" hidden="1" customWidth="1"/>
    <col min="105" max="105" width="8.69140625" bestFit="1" customWidth="1"/>
    <col min="107" max="107" width="16.53515625" bestFit="1" customWidth="1"/>
    <col min="108" max="108" width="10.69140625" bestFit="1" customWidth="1"/>
    <col min="109" max="109" width="10.53515625" bestFit="1" customWidth="1"/>
    <col min="110" max="110" width="9.3046875" hidden="1" customWidth="1"/>
    <col min="111" max="112" width="11.3046875" hidden="1" customWidth="1"/>
    <col min="113" max="113" width="7.84375" bestFit="1" customWidth="1"/>
    <col min="115" max="115" width="16.53515625" bestFit="1" customWidth="1"/>
    <col min="116" max="117" width="11.3828125" bestFit="1" customWidth="1"/>
    <col min="118" max="118" width="9.3046875" hidden="1" customWidth="1"/>
    <col min="119" max="120" width="11.3046875" hidden="1" customWidth="1"/>
    <col min="121" max="121" width="8.69140625" bestFit="1" customWidth="1"/>
    <col min="123" max="123" width="16.53515625" bestFit="1" customWidth="1"/>
    <col min="124" max="125" width="10.53515625" bestFit="1" customWidth="1"/>
    <col min="126" max="126" width="9.3046875" hidden="1" customWidth="1"/>
    <col min="127" max="128" width="11.3046875" hidden="1" customWidth="1"/>
    <col min="129" max="129" width="8.69140625" bestFit="1" customWidth="1"/>
    <col min="131" max="131" width="16.53515625" bestFit="1" customWidth="1"/>
    <col min="132" max="132" width="11.84375" bestFit="1" customWidth="1"/>
    <col min="133" max="133" width="11.3828125" bestFit="1" customWidth="1"/>
    <col min="134" max="134" width="9.3046875" hidden="1" customWidth="1"/>
    <col min="135" max="136" width="11.3046875" hidden="1" customWidth="1"/>
    <col min="137" max="137" width="8.69140625" bestFit="1" customWidth="1"/>
    <col min="139" max="139" width="16.53515625" bestFit="1" customWidth="1"/>
    <col min="140" max="140" width="12" bestFit="1" customWidth="1"/>
    <col min="142" max="144" width="0" hidden="1" customWidth="1"/>
  </cols>
  <sheetData>
    <row r="1" spans="7:145" x14ac:dyDescent="0.3">
      <c r="AA1" s="1"/>
      <c r="AY1" s="1"/>
    </row>
    <row r="2" spans="7:145" ht="12.9" thickBot="1" x14ac:dyDescent="0.35">
      <c r="G2" s="97" t="s">
        <v>88</v>
      </c>
      <c r="H2" s="96"/>
      <c r="I2" s="96"/>
      <c r="AA2" s="79" t="str">
        <f>C23</f>
        <v>262 Homes - Existing</v>
      </c>
      <c r="AB2" s="1"/>
      <c r="AC2" s="1"/>
      <c r="AD2" s="1"/>
      <c r="AE2" s="1"/>
      <c r="AF2" s="1"/>
      <c r="AG2" s="1"/>
      <c r="AI2" s="45" t="str">
        <f>D23</f>
        <v>262 Homes - Geo</v>
      </c>
      <c r="AQ2" s="45" t="str">
        <f>G23</f>
        <v>Community Center - Existing</v>
      </c>
      <c r="AY2" s="311" t="str">
        <f>H23</f>
        <v>Community Center - Geo</v>
      </c>
      <c r="AZ2" s="1"/>
      <c r="BA2" s="1"/>
      <c r="BB2" s="1"/>
      <c r="BC2" s="1"/>
      <c r="BD2" s="1"/>
      <c r="BE2" s="1"/>
      <c r="BG2" s="45" t="str">
        <f>I23</f>
        <v>Bryant Elementary - Existing</v>
      </c>
      <c r="BO2" s="45" t="str">
        <f>J23</f>
        <v>Bryant Elementary - Geo</v>
      </c>
      <c r="BW2" s="45" t="str">
        <f>K23</f>
        <v>County Health - Existing</v>
      </c>
      <c r="CE2" s="227" t="str">
        <f>L23</f>
        <v>County Health - Geo</v>
      </c>
      <c r="CM2" s="227" t="str">
        <f>M23</f>
        <v>Wheeler Center - Existing</v>
      </c>
      <c r="CN2" s="228"/>
      <c r="CU2" s="227" t="str">
        <f>N23</f>
        <v>Wheeler Center - Geo</v>
      </c>
      <c r="DC2" s="227" t="str">
        <f>O23</f>
        <v>Wheeler Maintenance (S) - Existing</v>
      </c>
      <c r="DK2" s="227" t="str">
        <f>P23</f>
        <v>Wheeler Maintenance (S) - Geo</v>
      </c>
      <c r="DS2" s="227" t="str">
        <f>Q23</f>
        <v>Wheeler Vehicle Storage (E) - Existing</v>
      </c>
      <c r="EA2" s="227" t="str">
        <f>R23</f>
        <v>Wheeler Vehicle Storage (E) - Geo</v>
      </c>
      <c r="EI2" s="227" t="str">
        <f>S23</f>
        <v>Central Geo Pumping (Homes Only)</v>
      </c>
    </row>
    <row r="3" spans="7:145" ht="37.75" thickBot="1" x14ac:dyDescent="0.35">
      <c r="G3" s="64" t="s">
        <v>89</v>
      </c>
      <c r="H3" s="64" t="s">
        <v>90</v>
      </c>
      <c r="I3" s="64" t="s">
        <v>91</v>
      </c>
      <c r="J3" s="64" t="s">
        <v>92</v>
      </c>
      <c r="K3" s="64" t="s">
        <v>93</v>
      </c>
      <c r="L3" s="64" t="s">
        <v>94</v>
      </c>
      <c r="M3" s="64" t="s">
        <v>95</v>
      </c>
      <c r="AA3" s="38"/>
      <c r="AB3" s="40" t="s">
        <v>287</v>
      </c>
      <c r="AC3" s="40" t="s">
        <v>288</v>
      </c>
      <c r="AD3" s="40" t="s">
        <v>289</v>
      </c>
      <c r="AE3" s="40" t="s">
        <v>290</v>
      </c>
      <c r="AF3" s="40" t="s">
        <v>291</v>
      </c>
      <c r="AG3" s="40" t="s">
        <v>292</v>
      </c>
      <c r="AI3" s="38"/>
      <c r="AJ3" s="40" t="s">
        <v>287</v>
      </c>
      <c r="AK3" s="40" t="s">
        <v>288</v>
      </c>
      <c r="AL3" s="40" t="s">
        <v>289</v>
      </c>
      <c r="AM3" s="40" t="s">
        <v>290</v>
      </c>
      <c r="AN3" s="40" t="s">
        <v>291</v>
      </c>
      <c r="AO3" s="40" t="s">
        <v>292</v>
      </c>
      <c r="AQ3" s="38"/>
      <c r="AR3" s="40" t="s">
        <v>287</v>
      </c>
      <c r="AS3" s="40" t="s">
        <v>288</v>
      </c>
      <c r="AT3" s="40" t="s">
        <v>289</v>
      </c>
      <c r="AU3" s="40" t="s">
        <v>290</v>
      </c>
      <c r="AV3" s="40" t="s">
        <v>291</v>
      </c>
      <c r="AW3" s="40" t="s">
        <v>292</v>
      </c>
      <c r="AY3" s="38"/>
      <c r="AZ3" s="40" t="s">
        <v>287</v>
      </c>
      <c r="BA3" s="40" t="s">
        <v>288</v>
      </c>
      <c r="BB3" s="40" t="s">
        <v>289</v>
      </c>
      <c r="BC3" s="40" t="s">
        <v>290</v>
      </c>
      <c r="BD3" s="40" t="s">
        <v>291</v>
      </c>
      <c r="BE3" s="40" t="s">
        <v>292</v>
      </c>
      <c r="BG3" s="38"/>
      <c r="BH3" s="40" t="s">
        <v>287</v>
      </c>
      <c r="BI3" s="40" t="s">
        <v>288</v>
      </c>
      <c r="BJ3" s="40" t="s">
        <v>289</v>
      </c>
      <c r="BK3" s="40" t="s">
        <v>290</v>
      </c>
      <c r="BL3" s="40" t="s">
        <v>291</v>
      </c>
      <c r="BM3" s="40" t="s">
        <v>292</v>
      </c>
      <c r="BO3" s="38"/>
      <c r="BP3" s="40" t="s">
        <v>287</v>
      </c>
      <c r="BQ3" s="40" t="s">
        <v>288</v>
      </c>
      <c r="BR3" s="40" t="s">
        <v>289</v>
      </c>
      <c r="BS3" s="40" t="s">
        <v>290</v>
      </c>
      <c r="BT3" s="40" t="s">
        <v>291</v>
      </c>
      <c r="BU3" s="40" t="s">
        <v>292</v>
      </c>
      <c r="BW3" s="38"/>
      <c r="BX3" s="40" t="s">
        <v>287</v>
      </c>
      <c r="BY3" s="40" t="s">
        <v>288</v>
      </c>
      <c r="BZ3" s="40" t="s">
        <v>289</v>
      </c>
      <c r="CA3" s="40" t="s">
        <v>290</v>
      </c>
      <c r="CB3" s="40" t="s">
        <v>291</v>
      </c>
      <c r="CC3" s="190" t="s">
        <v>292</v>
      </c>
      <c r="CE3" s="38"/>
      <c r="CF3" s="40" t="s">
        <v>287</v>
      </c>
      <c r="CG3" s="40" t="s">
        <v>288</v>
      </c>
      <c r="CH3" s="40" t="s">
        <v>289</v>
      </c>
      <c r="CI3" s="40" t="s">
        <v>290</v>
      </c>
      <c r="CJ3" s="40" t="s">
        <v>291</v>
      </c>
      <c r="CK3" s="40" t="s">
        <v>292</v>
      </c>
      <c r="CL3" s="40"/>
      <c r="CM3" s="38"/>
      <c r="CN3" s="40" t="s">
        <v>287</v>
      </c>
      <c r="CO3" s="40" t="s">
        <v>288</v>
      </c>
      <c r="CP3" s="40" t="s">
        <v>289</v>
      </c>
      <c r="CQ3" s="40" t="s">
        <v>290</v>
      </c>
      <c r="CR3" s="40" t="s">
        <v>291</v>
      </c>
      <c r="CS3" s="40" t="s">
        <v>292</v>
      </c>
      <c r="CU3" s="38"/>
      <c r="CV3" s="40" t="s">
        <v>287</v>
      </c>
      <c r="CW3" s="40" t="s">
        <v>288</v>
      </c>
      <c r="CX3" s="40" t="s">
        <v>289</v>
      </c>
      <c r="CY3" s="40" t="s">
        <v>290</v>
      </c>
      <c r="CZ3" s="40" t="s">
        <v>291</v>
      </c>
      <c r="DA3" s="40" t="s">
        <v>292</v>
      </c>
      <c r="DC3" s="38"/>
      <c r="DD3" s="40" t="s">
        <v>287</v>
      </c>
      <c r="DE3" s="40" t="s">
        <v>288</v>
      </c>
      <c r="DF3" s="40" t="s">
        <v>289</v>
      </c>
      <c r="DG3" s="40" t="s">
        <v>290</v>
      </c>
      <c r="DH3" s="40" t="s">
        <v>291</v>
      </c>
      <c r="DI3" s="40" t="s">
        <v>292</v>
      </c>
      <c r="DK3" s="38"/>
      <c r="DL3" s="40" t="s">
        <v>287</v>
      </c>
      <c r="DM3" s="40" t="s">
        <v>288</v>
      </c>
      <c r="DN3" s="40" t="s">
        <v>289</v>
      </c>
      <c r="DO3" s="40" t="s">
        <v>290</v>
      </c>
      <c r="DP3" s="40" t="s">
        <v>291</v>
      </c>
      <c r="DQ3" s="40" t="s">
        <v>292</v>
      </c>
      <c r="DS3" s="38"/>
      <c r="DT3" s="40" t="s">
        <v>287</v>
      </c>
      <c r="DU3" s="40" t="s">
        <v>288</v>
      </c>
      <c r="DV3" s="40" t="s">
        <v>289</v>
      </c>
      <c r="DW3" s="40" t="s">
        <v>290</v>
      </c>
      <c r="DX3" s="40" t="s">
        <v>291</v>
      </c>
      <c r="DY3" s="40" t="s">
        <v>292</v>
      </c>
      <c r="EA3" s="38"/>
      <c r="EB3" s="40" t="s">
        <v>287</v>
      </c>
      <c r="EC3" s="40" t="s">
        <v>288</v>
      </c>
      <c r="ED3" s="40" t="s">
        <v>289</v>
      </c>
      <c r="EE3" s="40" t="s">
        <v>290</v>
      </c>
      <c r="EF3" s="40" t="s">
        <v>291</v>
      </c>
      <c r="EG3" s="40" t="s">
        <v>292</v>
      </c>
      <c r="EI3" s="38"/>
      <c r="EJ3" s="40" t="s">
        <v>287</v>
      </c>
      <c r="EK3" s="40" t="s">
        <v>288</v>
      </c>
      <c r="EL3" s="40" t="s">
        <v>289</v>
      </c>
      <c r="EM3" s="40" t="s">
        <v>290</v>
      </c>
      <c r="EN3" s="40" t="s">
        <v>291</v>
      </c>
      <c r="EO3" s="40" t="s">
        <v>292</v>
      </c>
    </row>
    <row r="4" spans="7:145" ht="12.9" thickBot="1" x14ac:dyDescent="0.35">
      <c r="G4" s="3"/>
      <c r="H4" s="3" t="s">
        <v>101</v>
      </c>
      <c r="I4" s="3"/>
      <c r="J4" s="3"/>
      <c r="K4" s="3"/>
      <c r="L4" s="3"/>
      <c r="M4" s="3"/>
      <c r="N4" s="1"/>
      <c r="O4" s="1"/>
      <c r="P4" s="1"/>
      <c r="Q4" s="1"/>
      <c r="R4" s="1"/>
      <c r="S4" s="1"/>
      <c r="U4" s="1"/>
      <c r="V4" s="1"/>
      <c r="W4" s="1"/>
      <c r="X4" s="1"/>
      <c r="Y4" s="1"/>
      <c r="Z4" s="1"/>
      <c r="AA4" s="162" t="s">
        <v>90</v>
      </c>
      <c r="AB4" s="162">
        <v>0</v>
      </c>
      <c r="AC4" s="162">
        <v>16103569.630000001</v>
      </c>
      <c r="AD4" s="41"/>
      <c r="AE4" s="41"/>
      <c r="AF4" s="41"/>
      <c r="AG4" s="41"/>
      <c r="AI4" s="429" t="s">
        <v>90</v>
      </c>
      <c r="AJ4" s="429">
        <v>3443159.32</v>
      </c>
      <c r="AK4" s="429">
        <v>0</v>
      </c>
      <c r="AL4" s="41"/>
      <c r="AM4" s="41"/>
      <c r="AN4" s="41"/>
      <c r="AO4" s="41"/>
      <c r="AQ4" s="162" t="s">
        <v>90</v>
      </c>
      <c r="AR4" s="162">
        <v>0</v>
      </c>
      <c r="AS4" s="162">
        <v>315318.81</v>
      </c>
      <c r="AT4" s="41"/>
      <c r="AU4" s="41"/>
      <c r="AV4" s="41"/>
      <c r="AW4" s="41"/>
      <c r="AY4" s="429" t="s">
        <v>90</v>
      </c>
      <c r="AZ4" s="429">
        <v>64124.07</v>
      </c>
      <c r="BA4" s="429">
        <v>0</v>
      </c>
      <c r="BB4" s="41"/>
      <c r="BC4" s="41"/>
      <c r="BD4" s="41"/>
      <c r="BE4" s="41"/>
      <c r="BG4" s="429" t="s">
        <v>90</v>
      </c>
      <c r="BH4" s="162">
        <v>0</v>
      </c>
      <c r="BI4" s="162">
        <v>1694126.74</v>
      </c>
      <c r="BJ4" s="41"/>
      <c r="BK4" s="41"/>
      <c r="BL4" s="41"/>
      <c r="BM4" s="41"/>
      <c r="BO4" s="429" t="s">
        <v>90</v>
      </c>
      <c r="BP4" s="429">
        <v>597928.16</v>
      </c>
      <c r="BQ4" s="429">
        <v>0</v>
      </c>
      <c r="BR4" s="41"/>
      <c r="BS4" s="41"/>
      <c r="BT4" s="41"/>
      <c r="BU4" s="41"/>
      <c r="BW4" s="429" t="s">
        <v>90</v>
      </c>
      <c r="BX4" s="162">
        <v>0</v>
      </c>
      <c r="BY4" s="162">
        <v>963010.22</v>
      </c>
      <c r="BZ4" s="41"/>
      <c r="CA4" s="41"/>
      <c r="CB4" s="41"/>
      <c r="CC4" s="41"/>
      <c r="CE4" s="162" t="s">
        <v>90</v>
      </c>
      <c r="CF4" s="312">
        <f>963010.22/BV25</f>
        <v>339886.57124070614</v>
      </c>
      <c r="CG4" s="312"/>
      <c r="CH4" s="41"/>
      <c r="CI4" s="41"/>
      <c r="CJ4" s="41"/>
      <c r="CK4" s="41"/>
      <c r="CM4" s="162" t="s">
        <v>90</v>
      </c>
      <c r="CN4" s="162">
        <v>68.489999999999995</v>
      </c>
      <c r="CO4" s="162">
        <v>1401867.35</v>
      </c>
      <c r="CP4" s="41"/>
      <c r="CQ4" s="41"/>
      <c r="CR4" s="41"/>
      <c r="CS4" s="41"/>
      <c r="CU4" s="162" t="s">
        <v>90</v>
      </c>
      <c r="CV4" s="313">
        <f>1401867.35/BV25</f>
        <v>494777.60155628982</v>
      </c>
      <c r="CW4" s="313"/>
      <c r="CX4" s="41"/>
      <c r="CY4" s="41"/>
      <c r="CZ4" s="41"/>
      <c r="DA4" s="41"/>
      <c r="DC4" s="162" t="s">
        <v>90</v>
      </c>
      <c r="DD4" s="162">
        <v>27.84</v>
      </c>
      <c r="DE4" s="162">
        <v>1249958</v>
      </c>
      <c r="DF4" s="41"/>
      <c r="DG4" s="41"/>
      <c r="DH4" s="41"/>
      <c r="DI4" s="41"/>
      <c r="DK4" s="162" t="s">
        <v>90</v>
      </c>
      <c r="DL4" s="313">
        <f>27.84+(1249958/BV25)</f>
        <v>441190.28043068474</v>
      </c>
      <c r="DM4" s="313"/>
      <c r="DN4" s="41"/>
      <c r="DO4" s="41"/>
      <c r="DP4" s="41"/>
      <c r="DQ4" s="41"/>
      <c r="DS4" s="162" t="s">
        <v>90</v>
      </c>
      <c r="DT4" s="162">
        <v>0</v>
      </c>
      <c r="DU4" s="162">
        <v>2410604.96</v>
      </c>
      <c r="DV4" s="41"/>
      <c r="DW4" s="41"/>
      <c r="DX4" s="41"/>
      <c r="DY4" s="41"/>
      <c r="EA4" s="162" t="s">
        <v>90</v>
      </c>
      <c r="EB4" s="313">
        <f>2410604.96/BV25</f>
        <v>850803.28064456012</v>
      </c>
      <c r="EC4" s="313"/>
      <c r="ED4" s="41"/>
      <c r="EE4" s="41"/>
      <c r="EF4" s="41"/>
      <c r="EG4" s="41"/>
      <c r="EI4" s="162" t="s">
        <v>90</v>
      </c>
      <c r="EJ4" s="313"/>
      <c r="EK4" s="313"/>
      <c r="EL4" s="41"/>
      <c r="EM4" s="41"/>
      <c r="EN4" s="41"/>
      <c r="EO4" s="41"/>
    </row>
    <row r="5" spans="7:145" ht="12.9" thickBot="1" x14ac:dyDescent="0.35">
      <c r="G5" s="3"/>
      <c r="H5" s="3"/>
      <c r="I5" s="3" t="s">
        <v>101</v>
      </c>
      <c r="J5" s="3"/>
      <c r="K5" s="3"/>
      <c r="L5" s="3"/>
      <c r="M5" s="3"/>
      <c r="N5" s="1"/>
      <c r="O5" s="1"/>
      <c r="P5" s="1"/>
      <c r="Q5" s="1"/>
      <c r="R5" s="1"/>
      <c r="S5" s="1"/>
      <c r="U5" s="1"/>
      <c r="V5" s="1"/>
      <c r="W5" s="1"/>
      <c r="X5" s="1"/>
      <c r="Y5" s="1"/>
      <c r="Z5" s="1"/>
      <c r="AA5" s="162" t="s">
        <v>91</v>
      </c>
      <c r="AB5" s="162">
        <v>1627426.68</v>
      </c>
      <c r="AC5" s="162">
        <v>0</v>
      </c>
      <c r="AD5" s="41"/>
      <c r="AE5" s="41"/>
      <c r="AF5" s="41"/>
      <c r="AG5" s="41"/>
      <c r="AI5" s="429" t="s">
        <v>91</v>
      </c>
      <c r="AJ5" s="429">
        <v>1116471.81</v>
      </c>
      <c r="AK5" s="429">
        <v>0</v>
      </c>
      <c r="AL5" s="41"/>
      <c r="AM5" s="41"/>
      <c r="AN5" s="41"/>
      <c r="AO5" s="41"/>
      <c r="AQ5" s="162" t="s">
        <v>91</v>
      </c>
      <c r="AR5" s="162">
        <v>43945.64</v>
      </c>
      <c r="AS5" s="162">
        <v>0</v>
      </c>
      <c r="AT5" s="41"/>
      <c r="AU5" s="41"/>
      <c r="AV5" s="41"/>
      <c r="AW5" s="41"/>
      <c r="AY5" s="429" t="s">
        <v>91</v>
      </c>
      <c r="AZ5" s="429">
        <v>38203.93</v>
      </c>
      <c r="BA5" s="429">
        <v>0</v>
      </c>
      <c r="BB5" s="41"/>
      <c r="BC5" s="41"/>
      <c r="BD5" s="41"/>
      <c r="BE5" s="41"/>
      <c r="BG5" s="429" t="s">
        <v>91</v>
      </c>
      <c r="BH5" s="162">
        <v>285262.09999999998</v>
      </c>
      <c r="BI5" s="162">
        <v>0</v>
      </c>
      <c r="BJ5" s="41"/>
      <c r="BK5" s="41"/>
      <c r="BL5" s="41"/>
      <c r="BM5" s="41"/>
      <c r="BO5" s="429" t="s">
        <v>91</v>
      </c>
      <c r="BP5" s="429">
        <v>238568.12</v>
      </c>
      <c r="BQ5" s="429">
        <v>0</v>
      </c>
      <c r="BR5" s="41"/>
      <c r="BS5" s="41"/>
      <c r="BT5" s="41"/>
      <c r="BU5" s="41"/>
      <c r="BW5" s="429" t="s">
        <v>91</v>
      </c>
      <c r="BX5" s="162">
        <v>131034.73</v>
      </c>
      <c r="BY5" s="162">
        <v>0</v>
      </c>
      <c r="BZ5" s="41"/>
      <c r="CA5" s="41"/>
      <c r="CB5" s="41"/>
      <c r="CC5" s="41"/>
      <c r="CE5" s="162" t="s">
        <v>91</v>
      </c>
      <c r="CF5" s="312">
        <f>131034.73/BV26</f>
        <v>109585.91832145807</v>
      </c>
      <c r="CG5" s="312">
        <v>0</v>
      </c>
      <c r="CH5" s="41"/>
      <c r="CI5" s="41"/>
      <c r="CJ5" s="41"/>
      <c r="CK5" s="41"/>
      <c r="CM5" s="162" t="s">
        <v>91</v>
      </c>
      <c r="CN5" s="162">
        <v>256239.89</v>
      </c>
      <c r="CO5" s="162">
        <v>0</v>
      </c>
      <c r="CP5" s="41"/>
      <c r="CQ5" s="41"/>
      <c r="CR5" s="41"/>
      <c r="CS5" s="41"/>
      <c r="CU5" s="162" t="s">
        <v>91</v>
      </c>
      <c r="CV5" s="313">
        <f>256239.89/BV26</f>
        <v>214296.49724343617</v>
      </c>
      <c r="CW5" s="313">
        <v>0</v>
      </c>
      <c r="CX5" s="41"/>
      <c r="CY5" s="41"/>
      <c r="CZ5" s="41"/>
      <c r="DA5" s="41"/>
      <c r="DC5" s="162" t="s">
        <v>91</v>
      </c>
      <c r="DD5" s="162">
        <v>104128.44</v>
      </c>
      <c r="DE5" s="162">
        <v>0</v>
      </c>
      <c r="DF5" s="41"/>
      <c r="DG5" s="41"/>
      <c r="DH5" s="41"/>
      <c r="DI5" s="41"/>
      <c r="DK5" s="162" t="s">
        <v>91</v>
      </c>
      <c r="DL5" s="313">
        <f>104128.44/BV26</f>
        <v>87083.864871403552</v>
      </c>
      <c r="DM5" s="313">
        <v>0</v>
      </c>
      <c r="DN5" s="41"/>
      <c r="DO5" s="41"/>
      <c r="DP5" s="41"/>
      <c r="DQ5" s="41"/>
      <c r="DS5" s="162" t="s">
        <v>91</v>
      </c>
      <c r="DT5" s="162">
        <v>0</v>
      </c>
      <c r="DU5" s="162">
        <v>0</v>
      </c>
      <c r="DV5" s="41"/>
      <c r="DW5" s="41"/>
      <c r="DX5" s="41"/>
      <c r="DY5" s="41"/>
      <c r="EA5" s="162" t="s">
        <v>91</v>
      </c>
      <c r="EB5" s="162">
        <v>0</v>
      </c>
      <c r="EC5" s="162">
        <v>0</v>
      </c>
      <c r="ED5" s="41"/>
      <c r="EE5" s="41"/>
      <c r="EF5" s="41"/>
      <c r="EG5" s="41"/>
      <c r="EI5" s="162" t="s">
        <v>91</v>
      </c>
      <c r="EJ5" s="162"/>
      <c r="EK5" s="162"/>
      <c r="EL5" s="41"/>
      <c r="EM5" s="41"/>
      <c r="EN5" s="41"/>
      <c r="EO5" s="41"/>
    </row>
    <row r="6" spans="7:145" ht="12.9" thickBot="1" x14ac:dyDescent="0.35">
      <c r="G6" s="3" t="s">
        <v>101</v>
      </c>
      <c r="H6" s="3"/>
      <c r="I6" s="3"/>
      <c r="J6" s="3"/>
      <c r="K6" s="3"/>
      <c r="L6" s="3"/>
      <c r="M6" s="3"/>
      <c r="N6" s="1"/>
      <c r="O6" s="1"/>
      <c r="P6" s="1"/>
      <c r="Q6" s="1"/>
      <c r="R6" s="1"/>
      <c r="S6" s="1"/>
      <c r="U6" s="1"/>
      <c r="V6" s="1"/>
      <c r="W6" s="1"/>
      <c r="X6" s="1"/>
      <c r="Y6" s="1"/>
      <c r="Z6" s="1"/>
      <c r="AA6" s="162" t="s">
        <v>108</v>
      </c>
      <c r="AB6" s="162">
        <v>628966.31000000006</v>
      </c>
      <c r="AC6" s="162">
        <v>0</v>
      </c>
      <c r="AD6" s="41"/>
      <c r="AE6" s="41"/>
      <c r="AF6" s="41"/>
      <c r="AG6" s="41"/>
      <c r="AI6" s="429" t="s">
        <v>108</v>
      </c>
      <c r="AJ6" s="429">
        <v>628966.31000000006</v>
      </c>
      <c r="AK6" s="429">
        <v>0</v>
      </c>
      <c r="AL6" s="41"/>
      <c r="AM6" s="41"/>
      <c r="AN6" s="41"/>
      <c r="AO6" s="41"/>
      <c r="AQ6" s="162" t="s">
        <v>108</v>
      </c>
      <c r="AR6" s="162">
        <v>37174</v>
      </c>
      <c r="AS6" s="162">
        <v>0</v>
      </c>
      <c r="AT6" s="41"/>
      <c r="AU6" s="41"/>
      <c r="AV6" s="41"/>
      <c r="AW6" s="41"/>
      <c r="AY6" s="429" t="s">
        <v>108</v>
      </c>
      <c r="AZ6" s="429">
        <v>37174</v>
      </c>
      <c r="BA6" s="429">
        <v>0</v>
      </c>
      <c r="BB6" s="41"/>
      <c r="BC6" s="41"/>
      <c r="BD6" s="41"/>
      <c r="BE6" s="41"/>
      <c r="BG6" s="429" t="s">
        <v>108</v>
      </c>
      <c r="BH6" s="162">
        <v>485362.19</v>
      </c>
      <c r="BI6" s="162">
        <v>0</v>
      </c>
      <c r="BJ6" s="41"/>
      <c r="BK6" s="41"/>
      <c r="BL6" s="41"/>
      <c r="BM6" s="41"/>
      <c r="BO6" s="429" t="s">
        <v>108</v>
      </c>
      <c r="BP6" s="429">
        <v>485362.19</v>
      </c>
      <c r="BQ6" s="429">
        <v>0</v>
      </c>
      <c r="BR6" s="41"/>
      <c r="BS6" s="41"/>
      <c r="BT6" s="41"/>
      <c r="BU6" s="41"/>
      <c r="BW6" s="429" t="s">
        <v>108</v>
      </c>
      <c r="BX6" s="162">
        <v>233706.23999999999</v>
      </c>
      <c r="BY6" s="162">
        <v>0</v>
      </c>
      <c r="BZ6" s="41"/>
      <c r="CA6" s="41"/>
      <c r="CB6" s="41"/>
      <c r="CC6" s="41"/>
      <c r="CE6" s="162" t="s">
        <v>108</v>
      </c>
      <c r="CF6" s="231">
        <v>233706.23999999999</v>
      </c>
      <c r="CG6" s="231">
        <v>0</v>
      </c>
      <c r="CH6" s="41"/>
      <c r="CI6" s="41"/>
      <c r="CJ6" s="41"/>
      <c r="CK6" s="41"/>
      <c r="CM6" s="162" t="s">
        <v>108</v>
      </c>
      <c r="CN6" s="162">
        <v>240811.81</v>
      </c>
      <c r="CO6" s="162">
        <v>0</v>
      </c>
      <c r="CP6" s="41"/>
      <c r="CQ6" s="41"/>
      <c r="CR6" s="41"/>
      <c r="CS6" s="41"/>
      <c r="CU6" s="162" t="s">
        <v>108</v>
      </c>
      <c r="CV6" s="162">
        <v>240811.81</v>
      </c>
      <c r="CW6" s="162">
        <v>0</v>
      </c>
      <c r="CX6" s="41"/>
      <c r="CY6" s="41"/>
      <c r="CZ6" s="41"/>
      <c r="DA6" s="41"/>
      <c r="DC6" s="162" t="s">
        <v>108</v>
      </c>
      <c r="DD6" s="162">
        <v>251312.67</v>
      </c>
      <c r="DE6" s="162">
        <v>0</v>
      </c>
      <c r="DF6" s="41"/>
      <c r="DG6" s="41"/>
      <c r="DH6" s="41"/>
      <c r="DI6" s="41"/>
      <c r="DK6" s="162" t="s">
        <v>108</v>
      </c>
      <c r="DL6" s="162">
        <v>251312.67</v>
      </c>
      <c r="DM6" s="162">
        <v>0</v>
      </c>
      <c r="DN6" s="41"/>
      <c r="DO6" s="41"/>
      <c r="DP6" s="41"/>
      <c r="DQ6" s="41"/>
      <c r="DS6" s="162" t="s">
        <v>108</v>
      </c>
      <c r="DT6" s="162">
        <v>398206.7</v>
      </c>
      <c r="DU6" s="162">
        <v>0</v>
      </c>
      <c r="DV6" s="41"/>
      <c r="DW6" s="41"/>
      <c r="DX6" s="41"/>
      <c r="DY6" s="41"/>
      <c r="EA6" s="162" t="s">
        <v>108</v>
      </c>
      <c r="EB6" s="162">
        <v>398206.7</v>
      </c>
      <c r="EC6" s="162">
        <v>0</v>
      </c>
      <c r="ED6" s="41"/>
      <c r="EE6" s="41"/>
      <c r="EF6" s="41"/>
      <c r="EG6" s="41"/>
      <c r="EI6" s="162" t="s">
        <v>108</v>
      </c>
      <c r="EJ6" s="162"/>
      <c r="EK6" s="162"/>
      <c r="EL6" s="41"/>
      <c r="EM6" s="41"/>
      <c r="EN6" s="41"/>
      <c r="EO6" s="41"/>
    </row>
    <row r="7" spans="7:145" ht="12.9" thickBot="1" x14ac:dyDescent="0.35">
      <c r="G7" s="3" t="s">
        <v>101</v>
      </c>
      <c r="H7" s="3"/>
      <c r="I7" s="3"/>
      <c r="J7" s="3"/>
      <c r="K7" s="3"/>
      <c r="L7" s="3"/>
      <c r="M7" s="3"/>
      <c r="N7" s="1"/>
      <c r="O7" s="1"/>
      <c r="P7" s="1"/>
      <c r="Q7" s="1"/>
      <c r="R7" s="1"/>
      <c r="S7" s="1"/>
      <c r="U7" s="1"/>
      <c r="V7" s="1"/>
      <c r="W7" s="1"/>
      <c r="X7" s="1"/>
      <c r="Y7" s="1"/>
      <c r="Z7" s="1"/>
      <c r="AA7" s="162" t="s">
        <v>109</v>
      </c>
      <c r="AB7" s="162">
        <v>0</v>
      </c>
      <c r="AC7" s="162">
        <v>0</v>
      </c>
      <c r="AD7" s="41"/>
      <c r="AE7" s="41"/>
      <c r="AF7" s="41"/>
      <c r="AG7" s="41"/>
      <c r="AI7" s="429" t="s">
        <v>109</v>
      </c>
      <c r="AJ7" s="429">
        <v>0</v>
      </c>
      <c r="AK7" s="429">
        <v>0</v>
      </c>
      <c r="AL7" s="41"/>
      <c r="AM7" s="41"/>
      <c r="AN7" s="41"/>
      <c r="AO7" s="41"/>
      <c r="AQ7" s="162" t="s">
        <v>109</v>
      </c>
      <c r="AR7" s="162">
        <v>0</v>
      </c>
      <c r="AS7" s="162">
        <v>0</v>
      </c>
      <c r="AT7" s="41"/>
      <c r="AU7" s="41"/>
      <c r="AV7" s="41"/>
      <c r="AW7" s="41"/>
      <c r="AY7" s="429" t="s">
        <v>109</v>
      </c>
      <c r="AZ7" s="429">
        <v>0</v>
      </c>
      <c r="BA7" s="429">
        <v>0</v>
      </c>
      <c r="BB7" s="41"/>
      <c r="BC7" s="41"/>
      <c r="BD7" s="41"/>
      <c r="BE7" s="41"/>
      <c r="BG7" s="429" t="s">
        <v>109</v>
      </c>
      <c r="BH7" s="162">
        <v>0</v>
      </c>
      <c r="BI7" s="162">
        <v>0</v>
      </c>
      <c r="BJ7" s="41"/>
      <c r="BK7" s="41"/>
      <c r="BL7" s="41"/>
      <c r="BM7" s="41"/>
      <c r="BO7" s="429" t="s">
        <v>109</v>
      </c>
      <c r="BP7" s="429">
        <v>0</v>
      </c>
      <c r="BQ7" s="429">
        <v>0</v>
      </c>
      <c r="BR7" s="41"/>
      <c r="BS7" s="41"/>
      <c r="BT7" s="41"/>
      <c r="BU7" s="41"/>
      <c r="BW7" s="429" t="s">
        <v>109</v>
      </c>
      <c r="BX7" s="162">
        <v>0</v>
      </c>
      <c r="BY7" s="162">
        <v>0</v>
      </c>
      <c r="BZ7" s="41"/>
      <c r="CA7" s="41"/>
      <c r="CB7" s="41"/>
      <c r="CC7" s="41"/>
      <c r="CE7" s="162" t="s">
        <v>109</v>
      </c>
      <c r="CF7" s="231">
        <v>0</v>
      </c>
      <c r="CG7" s="231">
        <v>0</v>
      </c>
      <c r="CH7" s="41"/>
      <c r="CI7" s="41"/>
      <c r="CJ7" s="41"/>
      <c r="CK7" s="41"/>
      <c r="CM7" s="162" t="s">
        <v>109</v>
      </c>
      <c r="CN7" s="162">
        <v>0</v>
      </c>
      <c r="CO7" s="162">
        <v>0</v>
      </c>
      <c r="CP7" s="41"/>
      <c r="CQ7" s="41"/>
      <c r="CR7" s="41"/>
      <c r="CS7" s="41"/>
      <c r="CU7" s="162" t="s">
        <v>109</v>
      </c>
      <c r="CV7" s="162">
        <v>0</v>
      </c>
      <c r="CW7" s="162">
        <v>0</v>
      </c>
      <c r="CX7" s="41"/>
      <c r="CY7" s="41"/>
      <c r="CZ7" s="41"/>
      <c r="DA7" s="41"/>
      <c r="DC7" s="162" t="s">
        <v>109</v>
      </c>
      <c r="DD7" s="162">
        <v>0</v>
      </c>
      <c r="DE7" s="162">
        <v>0</v>
      </c>
      <c r="DF7" s="41"/>
      <c r="DG7" s="41"/>
      <c r="DH7" s="41"/>
      <c r="DI7" s="41"/>
      <c r="DK7" s="162" t="s">
        <v>109</v>
      </c>
      <c r="DL7" s="162">
        <v>0</v>
      </c>
      <c r="DM7" s="162">
        <v>0</v>
      </c>
      <c r="DN7" s="41"/>
      <c r="DO7" s="41"/>
      <c r="DP7" s="41"/>
      <c r="DQ7" s="41"/>
      <c r="DS7" s="162" t="s">
        <v>109</v>
      </c>
      <c r="DT7" s="162">
        <v>0</v>
      </c>
      <c r="DU7" s="162">
        <v>0</v>
      </c>
      <c r="DV7" s="41"/>
      <c r="DW7" s="41"/>
      <c r="DX7" s="41"/>
      <c r="DY7" s="41"/>
      <c r="EA7" s="162" t="s">
        <v>109</v>
      </c>
      <c r="EB7" s="162">
        <v>0</v>
      </c>
      <c r="EC7" s="162">
        <v>0</v>
      </c>
      <c r="ED7" s="41"/>
      <c r="EE7" s="41"/>
      <c r="EF7" s="41"/>
      <c r="EG7" s="41"/>
      <c r="EI7" s="162" t="s">
        <v>109</v>
      </c>
      <c r="EJ7" s="162"/>
      <c r="EK7" s="162"/>
      <c r="EL7" s="41"/>
      <c r="EM7" s="41"/>
      <c r="EN7" s="41"/>
      <c r="EO7" s="41"/>
    </row>
    <row r="8" spans="7:145" ht="12.9" thickBot="1" x14ac:dyDescent="0.35">
      <c r="G8" s="3"/>
      <c r="H8" s="3"/>
      <c r="I8" s="3"/>
      <c r="J8" s="3"/>
      <c r="K8" s="3"/>
      <c r="L8" s="3" t="s">
        <v>101</v>
      </c>
      <c r="M8" s="3"/>
      <c r="N8" s="1"/>
      <c r="O8" s="1"/>
      <c r="P8" s="1"/>
      <c r="Q8" s="1"/>
      <c r="R8" s="1"/>
      <c r="S8" s="1"/>
      <c r="U8" s="1"/>
      <c r="V8" s="1"/>
      <c r="W8" s="1"/>
      <c r="X8" s="1"/>
      <c r="Y8" s="1"/>
      <c r="Z8" s="1"/>
      <c r="AA8" s="162" t="s">
        <v>110</v>
      </c>
      <c r="AB8" s="162">
        <v>1725200.53</v>
      </c>
      <c r="AC8" s="162">
        <v>530519.41</v>
      </c>
      <c r="AD8" s="41"/>
      <c r="AE8" s="41"/>
      <c r="AF8" s="41"/>
      <c r="AG8" s="41"/>
      <c r="AI8" s="429" t="s">
        <v>110</v>
      </c>
      <c r="AJ8" s="429">
        <v>1725200.53</v>
      </c>
      <c r="AK8" s="429">
        <v>530519.41</v>
      </c>
      <c r="AL8" s="41"/>
      <c r="AM8" s="41"/>
      <c r="AN8" s="41"/>
      <c r="AO8" s="41"/>
      <c r="AQ8" s="162" t="s">
        <v>110</v>
      </c>
      <c r="AR8" s="162">
        <v>40791.83</v>
      </c>
      <c r="AS8" s="162">
        <v>0</v>
      </c>
      <c r="AT8" s="41"/>
      <c r="AU8" s="41"/>
      <c r="AV8" s="41"/>
      <c r="AW8" s="41"/>
      <c r="AY8" s="429" t="s">
        <v>110</v>
      </c>
      <c r="AZ8" s="429">
        <v>40791.83</v>
      </c>
      <c r="BA8" s="429">
        <v>0</v>
      </c>
      <c r="BB8" s="41"/>
      <c r="BC8" s="41"/>
      <c r="BD8" s="41"/>
      <c r="BE8" s="41"/>
      <c r="BG8" s="429" t="s">
        <v>110</v>
      </c>
      <c r="BH8" s="162">
        <v>328427.45</v>
      </c>
      <c r="BI8" s="162">
        <v>0</v>
      </c>
      <c r="BJ8" s="41"/>
      <c r="BK8" s="41"/>
      <c r="BL8" s="41"/>
      <c r="BM8" s="41"/>
      <c r="BO8" s="429" t="s">
        <v>110</v>
      </c>
      <c r="BP8" s="429">
        <v>328427.45</v>
      </c>
      <c r="BQ8" s="429">
        <v>0</v>
      </c>
      <c r="BR8" s="41"/>
      <c r="BS8" s="41"/>
      <c r="BT8" s="41"/>
      <c r="BU8" s="41"/>
      <c r="BW8" s="429" t="s">
        <v>110</v>
      </c>
      <c r="BX8" s="162">
        <v>318687.37</v>
      </c>
      <c r="BY8" s="162">
        <v>0</v>
      </c>
      <c r="BZ8" s="41"/>
      <c r="CA8" s="41"/>
      <c r="CB8" s="41"/>
      <c r="CC8" s="41"/>
      <c r="CE8" s="162" t="s">
        <v>110</v>
      </c>
      <c r="CF8" s="231">
        <v>318687.37</v>
      </c>
      <c r="CG8" s="231">
        <v>0</v>
      </c>
      <c r="CH8" s="41"/>
      <c r="CI8" s="41"/>
      <c r="CJ8" s="41"/>
      <c r="CK8" s="41"/>
      <c r="CM8" s="162" t="s">
        <v>110</v>
      </c>
      <c r="CN8" s="162">
        <v>466123.76</v>
      </c>
      <c r="CO8" s="162">
        <v>0</v>
      </c>
      <c r="CP8" s="41"/>
      <c r="CQ8" s="41"/>
      <c r="CR8" s="41"/>
      <c r="CS8" s="41"/>
      <c r="CU8" s="162" t="s">
        <v>110</v>
      </c>
      <c r="CV8" s="162">
        <v>466123.76</v>
      </c>
      <c r="CW8" s="162">
        <v>0</v>
      </c>
      <c r="CX8" s="41"/>
      <c r="CY8" s="41"/>
      <c r="CZ8" s="41"/>
      <c r="DA8" s="41"/>
      <c r="DC8" s="162" t="s">
        <v>110</v>
      </c>
      <c r="DD8" s="162">
        <v>486449.59</v>
      </c>
      <c r="DE8" s="162">
        <v>0</v>
      </c>
      <c r="DF8" s="41"/>
      <c r="DG8" s="41"/>
      <c r="DH8" s="41"/>
      <c r="DI8" s="41"/>
      <c r="DK8" s="162" t="s">
        <v>110</v>
      </c>
      <c r="DL8" s="162">
        <v>486449.59</v>
      </c>
      <c r="DM8" s="162">
        <v>0</v>
      </c>
      <c r="DN8" s="41"/>
      <c r="DO8" s="41"/>
      <c r="DP8" s="41"/>
      <c r="DQ8" s="41"/>
      <c r="DS8" s="162" t="s">
        <v>110</v>
      </c>
      <c r="DT8" s="162">
        <v>770782.8</v>
      </c>
      <c r="DU8" s="162">
        <v>0</v>
      </c>
      <c r="DV8" s="41"/>
      <c r="DW8" s="41"/>
      <c r="DX8" s="41"/>
      <c r="DY8" s="41"/>
      <c r="EA8" s="162" t="s">
        <v>110</v>
      </c>
      <c r="EB8" s="162">
        <v>770782.8</v>
      </c>
      <c r="EC8" s="162">
        <v>0</v>
      </c>
      <c r="ED8" s="41"/>
      <c r="EE8" s="41"/>
      <c r="EF8" s="41"/>
      <c r="EG8" s="41"/>
      <c r="EI8" s="162" t="s">
        <v>110</v>
      </c>
      <c r="EJ8" s="162"/>
      <c r="EK8" s="162"/>
      <c r="EL8" s="41"/>
      <c r="EM8" s="41"/>
      <c r="EN8" s="41"/>
      <c r="EO8" s="41"/>
    </row>
    <row r="9" spans="7:145" ht="12.9" thickBot="1" x14ac:dyDescent="0.35">
      <c r="G9" s="3"/>
      <c r="H9" s="3"/>
      <c r="I9" s="3"/>
      <c r="J9" s="3"/>
      <c r="K9" s="3"/>
      <c r="L9" s="3" t="s">
        <v>101</v>
      </c>
      <c r="M9" s="3"/>
      <c r="N9" s="1"/>
      <c r="O9" s="1"/>
      <c r="P9" s="1"/>
      <c r="Q9" s="1"/>
      <c r="R9" s="1"/>
      <c r="S9" s="1"/>
      <c r="U9" s="1"/>
      <c r="V9" s="1"/>
      <c r="W9" s="1"/>
      <c r="X9" s="1"/>
      <c r="Y9" s="1"/>
      <c r="Z9" s="1"/>
      <c r="AA9" s="162" t="s">
        <v>111</v>
      </c>
      <c r="AB9" s="162">
        <v>0</v>
      </c>
      <c r="AC9" s="162">
        <v>0</v>
      </c>
      <c r="AD9" s="41"/>
      <c r="AE9" s="41"/>
      <c r="AF9" s="41"/>
      <c r="AG9" s="41"/>
      <c r="AI9" s="429" t="s">
        <v>111</v>
      </c>
      <c r="AJ9" s="429">
        <v>0</v>
      </c>
      <c r="AK9" s="429">
        <v>0</v>
      </c>
      <c r="AL9" s="41"/>
      <c r="AM9" s="41"/>
      <c r="AN9" s="41"/>
      <c r="AO9" s="41"/>
      <c r="AQ9" s="162" t="s">
        <v>111</v>
      </c>
      <c r="AR9" s="162">
        <v>0</v>
      </c>
      <c r="AS9" s="162">
        <v>0</v>
      </c>
      <c r="AT9" s="41"/>
      <c r="AU9" s="41"/>
      <c r="AV9" s="41"/>
      <c r="AW9" s="41"/>
      <c r="AY9" s="429" t="s">
        <v>111</v>
      </c>
      <c r="AZ9" s="429">
        <v>0</v>
      </c>
      <c r="BA9" s="429">
        <v>0</v>
      </c>
      <c r="BB9" s="41"/>
      <c r="BC9" s="41"/>
      <c r="BD9" s="41"/>
      <c r="BE9" s="41"/>
      <c r="BG9" s="429" t="s">
        <v>111</v>
      </c>
      <c r="BH9" s="162">
        <v>0</v>
      </c>
      <c r="BI9" s="162">
        <v>0</v>
      </c>
      <c r="BJ9" s="41"/>
      <c r="BK9" s="41"/>
      <c r="BL9" s="41"/>
      <c r="BM9" s="41"/>
      <c r="BO9" s="429" t="s">
        <v>111</v>
      </c>
      <c r="BP9" s="429">
        <v>0</v>
      </c>
      <c r="BQ9" s="429">
        <v>0</v>
      </c>
      <c r="BR9" s="41"/>
      <c r="BS9" s="41"/>
      <c r="BT9" s="41"/>
      <c r="BU9" s="41"/>
      <c r="BW9" s="429" t="s">
        <v>111</v>
      </c>
      <c r="BX9" s="162">
        <v>0</v>
      </c>
      <c r="BY9" s="162">
        <v>0</v>
      </c>
      <c r="BZ9" s="41"/>
      <c r="CA9" s="41"/>
      <c r="CB9" s="41"/>
      <c r="CC9" s="41"/>
      <c r="CE9" s="162" t="s">
        <v>111</v>
      </c>
      <c r="CF9" s="231">
        <v>0</v>
      </c>
      <c r="CG9" s="231">
        <v>0</v>
      </c>
      <c r="CH9" s="41"/>
      <c r="CI9" s="41"/>
      <c r="CJ9" s="41"/>
      <c r="CK9" s="41"/>
      <c r="CM9" s="162" t="s">
        <v>111</v>
      </c>
      <c r="CN9" s="162">
        <v>0</v>
      </c>
      <c r="CO9" s="162">
        <v>0</v>
      </c>
      <c r="CP9" s="41"/>
      <c r="CQ9" s="41"/>
      <c r="CR9" s="41"/>
      <c r="CS9" s="41"/>
      <c r="CU9" s="162" t="s">
        <v>111</v>
      </c>
      <c r="CV9" s="162">
        <v>0</v>
      </c>
      <c r="CW9" s="162">
        <v>0</v>
      </c>
      <c r="CX9" s="41"/>
      <c r="CY9" s="41"/>
      <c r="CZ9" s="41"/>
      <c r="DA9" s="41"/>
      <c r="DC9" s="162" t="s">
        <v>111</v>
      </c>
      <c r="DD9" s="162">
        <v>0</v>
      </c>
      <c r="DE9" s="162">
        <v>0</v>
      </c>
      <c r="DF9" s="41"/>
      <c r="DG9" s="41"/>
      <c r="DH9" s="41"/>
      <c r="DI9" s="41"/>
      <c r="DK9" s="162" t="s">
        <v>111</v>
      </c>
      <c r="DL9" s="162">
        <v>0</v>
      </c>
      <c r="DM9" s="162">
        <v>0</v>
      </c>
      <c r="DN9" s="41"/>
      <c r="DO9" s="41"/>
      <c r="DP9" s="41"/>
      <c r="DQ9" s="41"/>
      <c r="DS9" s="162" t="s">
        <v>111</v>
      </c>
      <c r="DT9" s="162">
        <v>0</v>
      </c>
      <c r="DU9" s="162">
        <v>0</v>
      </c>
      <c r="DV9" s="41"/>
      <c r="DW9" s="41"/>
      <c r="DX9" s="41"/>
      <c r="DY9" s="41"/>
      <c r="EA9" s="162" t="s">
        <v>111</v>
      </c>
      <c r="EB9" s="162">
        <v>0</v>
      </c>
      <c r="EC9" s="162">
        <v>0</v>
      </c>
      <c r="ED9" s="41"/>
      <c r="EE9" s="41"/>
      <c r="EF9" s="41"/>
      <c r="EG9" s="41"/>
      <c r="EI9" s="162" t="s">
        <v>111</v>
      </c>
      <c r="EJ9" s="162"/>
      <c r="EK9" s="162"/>
      <c r="EL9" s="41"/>
      <c r="EM9" s="41"/>
      <c r="EN9" s="41"/>
      <c r="EO9" s="41"/>
    </row>
    <row r="10" spans="7:145" ht="12.9" thickBot="1" x14ac:dyDescent="0.35">
      <c r="G10" s="3"/>
      <c r="H10" s="3"/>
      <c r="I10" s="3"/>
      <c r="J10" s="3"/>
      <c r="K10" s="3" t="s">
        <v>101</v>
      </c>
      <c r="L10" s="3"/>
      <c r="M10" s="3"/>
      <c r="N10" s="1"/>
      <c r="O10" s="1"/>
      <c r="P10" s="1"/>
      <c r="Q10" s="1"/>
      <c r="R10" s="1"/>
      <c r="S10" s="1"/>
      <c r="U10" s="1"/>
      <c r="V10" s="1"/>
      <c r="W10" s="1"/>
      <c r="X10" s="1"/>
      <c r="Y10" s="1"/>
      <c r="Z10" s="1"/>
      <c r="AA10" s="162" t="s">
        <v>102</v>
      </c>
      <c r="AB10" s="162">
        <v>1769874.65</v>
      </c>
      <c r="AC10" s="162">
        <v>0</v>
      </c>
      <c r="AD10" s="41"/>
      <c r="AE10" s="41"/>
      <c r="AF10" s="41"/>
      <c r="AG10" s="41"/>
      <c r="AI10" s="429" t="s">
        <v>102</v>
      </c>
      <c r="AJ10" s="429">
        <v>745406.98</v>
      </c>
      <c r="AK10" s="429">
        <v>0</v>
      </c>
      <c r="AL10" s="41"/>
      <c r="AM10" s="41"/>
      <c r="AN10" s="41"/>
      <c r="AO10" s="41"/>
      <c r="AQ10" s="162" t="s">
        <v>102</v>
      </c>
      <c r="AR10" s="162">
        <v>37350.69</v>
      </c>
      <c r="AS10" s="162">
        <v>0</v>
      </c>
      <c r="AT10" s="41"/>
      <c r="AU10" s="41"/>
      <c r="AV10" s="41"/>
      <c r="AW10" s="41"/>
      <c r="AY10" s="429" t="s">
        <v>102</v>
      </c>
      <c r="AZ10" s="429">
        <v>19761.18</v>
      </c>
      <c r="BA10" s="429">
        <v>0</v>
      </c>
      <c r="BB10" s="41"/>
      <c r="BC10" s="41"/>
      <c r="BD10" s="41"/>
      <c r="BE10" s="41"/>
      <c r="BG10" s="429" t="s">
        <v>102</v>
      </c>
      <c r="BH10" s="162">
        <v>183863.02</v>
      </c>
      <c r="BI10" s="162">
        <v>0</v>
      </c>
      <c r="BJ10" s="41"/>
      <c r="BK10" s="41"/>
      <c r="BL10" s="41"/>
      <c r="BM10" s="41"/>
      <c r="BO10" s="429" t="s">
        <v>102</v>
      </c>
      <c r="BP10" s="429">
        <v>121679.88</v>
      </c>
      <c r="BQ10" s="429">
        <v>0</v>
      </c>
      <c r="BR10" s="41"/>
      <c r="BS10" s="41"/>
      <c r="BT10" s="41"/>
      <c r="BU10" s="41"/>
      <c r="BW10" s="429" t="s">
        <v>102</v>
      </c>
      <c r="BX10" s="162">
        <v>90850.82</v>
      </c>
      <c r="BY10" s="162">
        <v>0</v>
      </c>
      <c r="BZ10" s="41"/>
      <c r="CA10" s="41"/>
      <c r="CB10" s="41"/>
      <c r="CC10" s="41"/>
      <c r="CE10" s="162" t="s">
        <v>102</v>
      </c>
      <c r="CF10" s="312">
        <f>90850.82/BV28</f>
        <v>60124.743276280366</v>
      </c>
      <c r="CG10" s="231">
        <v>0</v>
      </c>
      <c r="CH10" s="41"/>
      <c r="CI10" s="41"/>
      <c r="CJ10" s="41"/>
      <c r="CK10" s="41"/>
      <c r="CM10" s="162" t="s">
        <v>102</v>
      </c>
      <c r="CN10" s="162">
        <v>346950.68</v>
      </c>
      <c r="CO10" s="162">
        <v>0</v>
      </c>
      <c r="CP10" s="41"/>
      <c r="CQ10" s="41"/>
      <c r="CR10" s="41"/>
      <c r="CS10" s="41"/>
      <c r="CU10" s="162" t="s">
        <v>102</v>
      </c>
      <c r="CV10" s="313">
        <f>346950.68/BV28</f>
        <v>229610.70207765762</v>
      </c>
      <c r="CW10" s="162">
        <v>0</v>
      </c>
      <c r="CX10" s="41"/>
      <c r="CY10" s="41"/>
      <c r="CZ10" s="41"/>
      <c r="DA10" s="41"/>
      <c r="DC10" s="162" t="s">
        <v>102</v>
      </c>
      <c r="DD10" s="162">
        <v>776539.58</v>
      </c>
      <c r="DE10" s="162">
        <v>0</v>
      </c>
      <c r="DF10" s="41"/>
      <c r="DG10" s="41"/>
      <c r="DH10" s="41"/>
      <c r="DI10" s="41"/>
      <c r="DK10" s="162" t="s">
        <v>102</v>
      </c>
      <c r="DL10" s="313">
        <f>776539.58/BV28</f>
        <v>513911.07852819131</v>
      </c>
      <c r="DM10" s="162">
        <v>0</v>
      </c>
      <c r="DN10" s="41"/>
      <c r="DO10" s="41"/>
      <c r="DP10" s="41"/>
      <c r="DQ10" s="41"/>
      <c r="DS10" s="162" t="s">
        <v>102</v>
      </c>
      <c r="DT10" s="162">
        <v>1154425.96</v>
      </c>
      <c r="DU10" s="162">
        <v>0</v>
      </c>
      <c r="DV10" s="41"/>
      <c r="DW10" s="41"/>
      <c r="DX10" s="41"/>
      <c r="DY10" s="41"/>
      <c r="EA10" s="162" t="s">
        <v>102</v>
      </c>
      <c r="EB10" s="313">
        <f>1154425.96/BV28</f>
        <v>763994.91470163385</v>
      </c>
      <c r="EC10" s="162">
        <v>0</v>
      </c>
      <c r="ED10" s="41"/>
      <c r="EE10" s="41"/>
      <c r="EF10" s="41"/>
      <c r="EG10" s="41"/>
      <c r="EI10" s="162" t="s">
        <v>102</v>
      </c>
      <c r="EJ10" s="313"/>
      <c r="EK10" s="162"/>
      <c r="EL10" s="41"/>
      <c r="EM10" s="41"/>
      <c r="EN10" s="41"/>
      <c r="EO10" s="41"/>
    </row>
    <row r="11" spans="7:145" ht="12.9" thickBot="1" x14ac:dyDescent="0.35">
      <c r="G11" s="3"/>
      <c r="H11" s="3"/>
      <c r="I11" s="3"/>
      <c r="J11" s="3" t="s">
        <v>101</v>
      </c>
      <c r="K11" s="3"/>
      <c r="L11" s="3"/>
      <c r="M11" s="3"/>
      <c r="N11" s="1"/>
      <c r="O11" s="1"/>
      <c r="P11" s="1"/>
      <c r="Q11" s="1"/>
      <c r="R11" s="1"/>
      <c r="S11" s="1"/>
      <c r="U11" s="1"/>
      <c r="V11" s="1"/>
      <c r="W11" s="1"/>
      <c r="X11" s="1"/>
      <c r="Y11" s="1"/>
      <c r="Z11" s="1"/>
      <c r="AA11" s="162" t="s">
        <v>103</v>
      </c>
      <c r="AB11" s="162">
        <v>227.67</v>
      </c>
      <c r="AC11" s="162">
        <v>0</v>
      </c>
      <c r="AD11" s="41"/>
      <c r="AE11" s="41"/>
      <c r="AF11" s="41"/>
      <c r="AG11" s="41"/>
      <c r="AI11" s="429" t="s">
        <v>103</v>
      </c>
      <c r="AJ11" s="468">
        <f>72854.49*1.25</f>
        <v>91068.112500000003</v>
      </c>
      <c r="AK11" s="429">
        <v>0</v>
      </c>
      <c r="AL11" s="41"/>
      <c r="AM11" s="41"/>
      <c r="AN11" s="41"/>
      <c r="AO11" s="41"/>
      <c r="AQ11" s="162" t="s">
        <v>103</v>
      </c>
      <c r="AR11" s="162">
        <v>1.56</v>
      </c>
      <c r="AS11" s="162">
        <v>0</v>
      </c>
      <c r="AT11" s="41"/>
      <c r="AU11" s="41"/>
      <c r="AV11" s="41"/>
      <c r="AW11" s="41"/>
      <c r="AY11" s="429" t="s">
        <v>103</v>
      </c>
      <c r="AZ11" s="468">
        <f>14432.6*1.25</f>
        <v>18040.75</v>
      </c>
      <c r="BA11" s="429">
        <v>0</v>
      </c>
      <c r="BB11" s="41"/>
      <c r="BC11" s="41"/>
      <c r="BD11" s="41"/>
      <c r="BE11" s="41"/>
      <c r="BG11" s="429" t="s">
        <v>103</v>
      </c>
      <c r="BH11" s="162">
        <v>30.71</v>
      </c>
      <c r="BI11" s="162">
        <v>0</v>
      </c>
      <c r="BJ11" s="41"/>
      <c r="BK11" s="41"/>
      <c r="BL11" s="41"/>
      <c r="BM11" s="41"/>
      <c r="BO11" s="429" t="s">
        <v>103</v>
      </c>
      <c r="BP11" s="468">
        <f>140320.03*1.25</f>
        <v>175400.03750000001</v>
      </c>
      <c r="BQ11" s="429">
        <v>0</v>
      </c>
      <c r="BR11" s="41"/>
      <c r="BS11" s="41"/>
      <c r="BT11" s="41"/>
      <c r="BU11" s="41"/>
      <c r="BW11" s="429" t="s">
        <v>103</v>
      </c>
      <c r="BX11" s="162">
        <v>23.25</v>
      </c>
      <c r="BY11" s="162">
        <v>0</v>
      </c>
      <c r="BZ11" s="41"/>
      <c r="CA11" s="41"/>
      <c r="CB11" s="41"/>
      <c r="CC11" s="41"/>
      <c r="CE11" s="162" t="s">
        <v>103</v>
      </c>
      <c r="CF11" s="312">
        <f>$BU$27*'Neighborhood Inputs'!G28</f>
        <v>97661.991507343133</v>
      </c>
      <c r="CG11" s="231">
        <v>0</v>
      </c>
      <c r="CH11" s="41"/>
      <c r="CI11" s="41"/>
      <c r="CJ11" s="41"/>
      <c r="CK11" s="41"/>
      <c r="CM11" s="162" t="s">
        <v>103</v>
      </c>
      <c r="CN11" s="162">
        <v>289.64</v>
      </c>
      <c r="CO11" s="162">
        <v>0</v>
      </c>
      <c r="CP11" s="41"/>
      <c r="CQ11" s="41"/>
      <c r="CR11" s="41"/>
      <c r="CS11" s="41"/>
      <c r="CU11" s="162" t="s">
        <v>103</v>
      </c>
      <c r="CV11" s="312">
        <f>$BU$27*'Neighborhood Inputs'!H28</f>
        <v>127468.22648685805</v>
      </c>
      <c r="CW11" s="162">
        <v>0</v>
      </c>
      <c r="CX11" s="41"/>
      <c r="CY11" s="41"/>
      <c r="CZ11" s="41"/>
      <c r="DA11" s="41"/>
      <c r="DC11" s="162" t="s">
        <v>103</v>
      </c>
      <c r="DD11" s="162">
        <v>202.08</v>
      </c>
      <c r="DE11" s="162">
        <v>0</v>
      </c>
      <c r="DF11" s="41"/>
      <c r="DG11" s="41"/>
      <c r="DH11" s="41"/>
      <c r="DI11" s="41"/>
      <c r="DK11" s="162" t="s">
        <v>103</v>
      </c>
      <c r="DL11" s="312">
        <f>$BU$27*'Neighborhood Inputs'!I28</f>
        <v>133026.63572151316</v>
      </c>
      <c r="DM11" s="162">
        <v>0</v>
      </c>
      <c r="DN11" s="41"/>
      <c r="DO11" s="41"/>
      <c r="DP11" s="41"/>
      <c r="DQ11" s="41"/>
      <c r="DS11" s="162" t="s">
        <v>103</v>
      </c>
      <c r="DT11" s="162">
        <v>40.47</v>
      </c>
      <c r="DU11" s="162">
        <v>0</v>
      </c>
      <c r="DV11" s="41"/>
      <c r="DW11" s="41"/>
      <c r="DX11" s="41"/>
      <c r="DY11" s="41"/>
      <c r="EA11" s="162" t="s">
        <v>103</v>
      </c>
      <c r="EB11" s="313">
        <f>$BU$27*'Neighborhood Inputs'!J28</f>
        <v>210779.79406275036</v>
      </c>
      <c r="EC11" s="162">
        <v>0</v>
      </c>
      <c r="ED11" s="41"/>
      <c r="EE11" s="41"/>
      <c r="EF11" s="41"/>
      <c r="EG11" s="41"/>
      <c r="EI11" s="162" t="s">
        <v>103</v>
      </c>
      <c r="EJ11" s="469">
        <f>579347.17*1.25</f>
        <v>724183.96250000002</v>
      </c>
      <c r="EK11" s="162"/>
      <c r="EL11" s="41"/>
      <c r="EM11" s="41"/>
      <c r="EN11" s="41"/>
      <c r="EO11" s="41"/>
    </row>
    <row r="12" spans="7:145" ht="12.9" thickBot="1" x14ac:dyDescent="0.35">
      <c r="G12" s="3"/>
      <c r="H12" s="3"/>
      <c r="I12" s="3" t="s">
        <v>101</v>
      </c>
      <c r="J12" s="3"/>
      <c r="K12" s="3"/>
      <c r="L12" s="3"/>
      <c r="M12" s="3"/>
      <c r="N12" s="1"/>
      <c r="O12" s="1"/>
      <c r="P12" s="1"/>
      <c r="Q12" s="1"/>
      <c r="R12" s="1"/>
      <c r="S12" s="1"/>
      <c r="U12" s="1"/>
      <c r="V12" s="1"/>
      <c r="W12" s="1"/>
      <c r="X12" s="1"/>
      <c r="Y12" s="1"/>
      <c r="Z12" s="1"/>
      <c r="AA12" s="162" t="s">
        <v>104</v>
      </c>
      <c r="AB12" s="162">
        <v>0</v>
      </c>
      <c r="AC12" s="162">
        <v>0</v>
      </c>
      <c r="AD12" s="41"/>
      <c r="AE12" s="41"/>
      <c r="AF12" s="41"/>
      <c r="AG12" s="41"/>
      <c r="AI12" s="429" t="s">
        <v>104</v>
      </c>
      <c r="AJ12" s="429">
        <v>0</v>
      </c>
      <c r="AK12" s="429">
        <v>0</v>
      </c>
      <c r="AL12" s="41"/>
      <c r="AM12" s="41"/>
      <c r="AN12" s="41"/>
      <c r="AO12" s="41"/>
      <c r="AQ12" s="162" t="s">
        <v>104</v>
      </c>
      <c r="AR12" s="162">
        <v>0</v>
      </c>
      <c r="AS12" s="162">
        <v>0</v>
      </c>
      <c r="AT12" s="41"/>
      <c r="AU12" s="41"/>
      <c r="AV12" s="41"/>
      <c r="AW12" s="41"/>
      <c r="AY12" s="429" t="s">
        <v>104</v>
      </c>
      <c r="AZ12" s="429">
        <v>0</v>
      </c>
      <c r="BA12" s="429">
        <v>0</v>
      </c>
      <c r="BB12" s="41"/>
      <c r="BC12" s="41"/>
      <c r="BD12" s="41"/>
      <c r="BE12" s="41"/>
      <c r="BG12" s="429" t="s">
        <v>104</v>
      </c>
      <c r="BH12" s="162">
        <v>0</v>
      </c>
      <c r="BI12" s="162">
        <v>0</v>
      </c>
      <c r="BJ12" s="41"/>
      <c r="BK12" s="41"/>
      <c r="BL12" s="41"/>
      <c r="BM12" s="41"/>
      <c r="BO12" s="429" t="s">
        <v>104</v>
      </c>
      <c r="BP12" s="429">
        <v>0</v>
      </c>
      <c r="BQ12" s="429">
        <v>0</v>
      </c>
      <c r="BR12" s="41"/>
      <c r="BS12" s="41"/>
      <c r="BT12" s="41"/>
      <c r="BU12" s="41"/>
      <c r="BW12" s="429" t="s">
        <v>104</v>
      </c>
      <c r="BX12" s="162">
        <v>0</v>
      </c>
      <c r="BY12" s="162">
        <v>0</v>
      </c>
      <c r="BZ12" s="41"/>
      <c r="CA12" s="41"/>
      <c r="CB12" s="41"/>
      <c r="CC12" s="41"/>
      <c r="CE12" s="162" t="s">
        <v>104</v>
      </c>
      <c r="CF12" s="231">
        <v>0</v>
      </c>
      <c r="CG12" s="231">
        <v>0</v>
      </c>
      <c r="CH12" s="41"/>
      <c r="CI12" s="41"/>
      <c r="CJ12" s="41"/>
      <c r="CK12" s="41"/>
      <c r="CM12" s="162" t="s">
        <v>104</v>
      </c>
      <c r="CN12" s="162">
        <v>0</v>
      </c>
      <c r="CO12" s="162">
        <v>0</v>
      </c>
      <c r="CP12" s="41"/>
      <c r="CQ12" s="41"/>
      <c r="CR12" s="41"/>
      <c r="CS12" s="41"/>
      <c r="CU12" s="162" t="s">
        <v>104</v>
      </c>
      <c r="CV12" s="162">
        <v>0</v>
      </c>
      <c r="CW12" s="162">
        <v>0</v>
      </c>
      <c r="CX12" s="41"/>
      <c r="CY12" s="41"/>
      <c r="CZ12" s="41"/>
      <c r="DA12" s="41"/>
      <c r="DC12" s="162" t="s">
        <v>104</v>
      </c>
      <c r="DD12" s="162">
        <v>0</v>
      </c>
      <c r="DE12" s="162">
        <v>0</v>
      </c>
      <c r="DF12" s="41"/>
      <c r="DG12" s="41"/>
      <c r="DH12" s="41"/>
      <c r="DI12" s="41"/>
      <c r="DK12" s="162" t="s">
        <v>104</v>
      </c>
      <c r="DL12" s="162">
        <v>0</v>
      </c>
      <c r="DM12" s="162">
        <v>0</v>
      </c>
      <c r="DN12" s="41"/>
      <c r="DO12" s="41"/>
      <c r="DP12" s="41"/>
      <c r="DQ12" s="41"/>
      <c r="DS12" s="162" t="s">
        <v>104</v>
      </c>
      <c r="DT12" s="162">
        <v>0</v>
      </c>
      <c r="DU12" s="162">
        <v>0</v>
      </c>
      <c r="DV12" s="41"/>
      <c r="DW12" s="41"/>
      <c r="DX12" s="41"/>
      <c r="DY12" s="41"/>
      <c r="EA12" s="162" t="s">
        <v>104</v>
      </c>
      <c r="EB12" s="162">
        <v>0</v>
      </c>
      <c r="EC12" s="162">
        <v>0</v>
      </c>
      <c r="ED12" s="41"/>
      <c r="EE12" s="41"/>
      <c r="EF12" s="41"/>
      <c r="EG12" s="41"/>
      <c r="EI12" s="162" t="s">
        <v>104</v>
      </c>
      <c r="EJ12" s="162"/>
      <c r="EK12" s="162"/>
      <c r="EL12" s="41"/>
      <c r="EM12" s="41"/>
      <c r="EN12" s="41"/>
      <c r="EO12" s="41"/>
    </row>
    <row r="13" spans="7:145" ht="12.9" thickBot="1" x14ac:dyDescent="0.35">
      <c r="G13" s="3"/>
      <c r="H13" s="3" t="s">
        <v>101</v>
      </c>
      <c r="I13" s="3"/>
      <c r="J13" s="3"/>
      <c r="K13" s="3"/>
      <c r="L13" s="3"/>
      <c r="M13" s="3"/>
      <c r="N13" s="1"/>
      <c r="O13" s="1"/>
      <c r="P13" s="1"/>
      <c r="Q13" s="1"/>
      <c r="R13" s="1"/>
      <c r="S13" s="1"/>
      <c r="U13" s="1"/>
      <c r="V13" s="1"/>
      <c r="W13" s="1"/>
      <c r="X13" s="1"/>
      <c r="Y13" s="1"/>
      <c r="Z13" s="1"/>
      <c r="AA13" s="162" t="s">
        <v>105</v>
      </c>
      <c r="AB13" s="162">
        <v>0</v>
      </c>
      <c r="AC13" s="162">
        <v>0</v>
      </c>
      <c r="AD13" s="41"/>
      <c r="AE13" s="41"/>
      <c r="AF13" s="41"/>
      <c r="AG13" s="41"/>
      <c r="AI13" s="429" t="s">
        <v>105</v>
      </c>
      <c r="AJ13" s="429">
        <v>0</v>
      </c>
      <c r="AK13" s="429">
        <v>0</v>
      </c>
      <c r="AL13" s="41"/>
      <c r="AM13" s="41"/>
      <c r="AN13" s="41"/>
      <c r="AO13" s="41"/>
      <c r="AQ13" s="162" t="s">
        <v>105</v>
      </c>
      <c r="AR13" s="162">
        <v>0</v>
      </c>
      <c r="AS13" s="162">
        <v>0</v>
      </c>
      <c r="AT13" s="41"/>
      <c r="AU13" s="41"/>
      <c r="AV13" s="41"/>
      <c r="AW13" s="41"/>
      <c r="AY13" s="429" t="s">
        <v>105</v>
      </c>
      <c r="AZ13" s="429">
        <v>0</v>
      </c>
      <c r="BA13" s="429">
        <v>0</v>
      </c>
      <c r="BB13" s="41"/>
      <c r="BC13" s="41"/>
      <c r="BD13" s="41"/>
      <c r="BE13" s="41"/>
      <c r="BG13" s="429" t="s">
        <v>105</v>
      </c>
      <c r="BH13" s="162">
        <v>0</v>
      </c>
      <c r="BI13" s="162">
        <v>0</v>
      </c>
      <c r="BJ13" s="41"/>
      <c r="BK13" s="41"/>
      <c r="BL13" s="41"/>
      <c r="BM13" s="41"/>
      <c r="BO13" s="429" t="s">
        <v>105</v>
      </c>
      <c r="BP13" s="429">
        <v>0</v>
      </c>
      <c r="BQ13" s="429">
        <v>0</v>
      </c>
      <c r="BR13" s="41"/>
      <c r="BS13" s="41"/>
      <c r="BT13" s="41"/>
      <c r="BU13" s="41"/>
      <c r="BW13" s="429" t="s">
        <v>105</v>
      </c>
      <c r="BX13" s="162">
        <v>0</v>
      </c>
      <c r="BY13" s="162">
        <v>0</v>
      </c>
      <c r="BZ13" s="41"/>
      <c r="CA13" s="41"/>
      <c r="CB13" s="41"/>
      <c r="CC13" s="41"/>
      <c r="CE13" s="162" t="s">
        <v>105</v>
      </c>
      <c r="CF13" s="231">
        <v>0</v>
      </c>
      <c r="CG13" s="231">
        <v>0</v>
      </c>
      <c r="CH13" s="41"/>
      <c r="CI13" s="41"/>
      <c r="CJ13" s="41"/>
      <c r="CK13" s="41"/>
      <c r="CM13" s="162" t="s">
        <v>105</v>
      </c>
      <c r="CN13" s="162">
        <v>0</v>
      </c>
      <c r="CO13" s="162">
        <v>0</v>
      </c>
      <c r="CP13" s="41"/>
      <c r="CQ13" s="41"/>
      <c r="CR13" s="41"/>
      <c r="CS13" s="41"/>
      <c r="CU13" s="162" t="s">
        <v>105</v>
      </c>
      <c r="CV13" s="162">
        <v>0</v>
      </c>
      <c r="CW13" s="162">
        <v>0</v>
      </c>
      <c r="CX13" s="41"/>
      <c r="CY13" s="41"/>
      <c r="CZ13" s="41"/>
      <c r="DA13" s="41"/>
      <c r="DC13" s="162" t="s">
        <v>105</v>
      </c>
      <c r="DD13" s="162">
        <v>0</v>
      </c>
      <c r="DE13" s="162">
        <v>0</v>
      </c>
      <c r="DF13" s="41"/>
      <c r="DG13" s="41"/>
      <c r="DH13" s="41"/>
      <c r="DI13" s="41"/>
      <c r="DK13" s="162" t="s">
        <v>105</v>
      </c>
      <c r="DL13" s="162">
        <v>0</v>
      </c>
      <c r="DM13" s="162">
        <v>0</v>
      </c>
      <c r="DN13" s="41"/>
      <c r="DO13" s="41"/>
      <c r="DP13" s="41"/>
      <c r="DQ13" s="41"/>
      <c r="DS13" s="162" t="s">
        <v>105</v>
      </c>
      <c r="DT13" s="162">
        <v>0</v>
      </c>
      <c r="DU13" s="162">
        <v>0</v>
      </c>
      <c r="DV13" s="41"/>
      <c r="DW13" s="41"/>
      <c r="DX13" s="41"/>
      <c r="DY13" s="41"/>
      <c r="EA13" s="162" t="s">
        <v>105</v>
      </c>
      <c r="EB13" s="162">
        <v>0</v>
      </c>
      <c r="EC13" s="162">
        <v>0</v>
      </c>
      <c r="ED13" s="41"/>
      <c r="EE13" s="41"/>
      <c r="EF13" s="41"/>
      <c r="EG13" s="41"/>
      <c r="EI13" s="162" t="s">
        <v>105</v>
      </c>
      <c r="EJ13" s="162"/>
      <c r="EK13" s="162"/>
      <c r="EL13" s="41"/>
      <c r="EM13" s="41"/>
      <c r="EN13" s="41"/>
      <c r="EO13" s="41"/>
    </row>
    <row r="14" spans="7:145" ht="12.9" thickBot="1" x14ac:dyDescent="0.35">
      <c r="G14" s="3"/>
      <c r="H14" s="3" t="s">
        <v>101</v>
      </c>
      <c r="I14" s="3"/>
      <c r="J14" s="3"/>
      <c r="K14" s="3"/>
      <c r="L14" s="3"/>
      <c r="M14" s="3"/>
      <c r="N14" s="1"/>
      <c r="O14" s="1"/>
      <c r="P14" s="1"/>
      <c r="Q14" s="1"/>
      <c r="R14" s="1"/>
      <c r="S14" s="1"/>
      <c r="U14" s="1"/>
      <c r="V14" s="1"/>
      <c r="W14" s="1"/>
      <c r="X14" s="1"/>
      <c r="Y14" s="1"/>
      <c r="Z14" s="1"/>
      <c r="AA14" s="162" t="s">
        <v>73</v>
      </c>
      <c r="AB14" s="162">
        <v>0</v>
      </c>
      <c r="AC14" s="162">
        <v>0</v>
      </c>
      <c r="AD14" s="41"/>
      <c r="AE14" s="41"/>
      <c r="AF14" s="41"/>
      <c r="AG14" s="41"/>
      <c r="AI14" s="429" t="s">
        <v>73</v>
      </c>
      <c r="AJ14" s="429">
        <v>0</v>
      </c>
      <c r="AK14" s="429">
        <v>0</v>
      </c>
      <c r="AL14" s="41"/>
      <c r="AM14" s="41"/>
      <c r="AN14" s="41"/>
      <c r="AO14" s="41"/>
      <c r="AQ14" s="162" t="s">
        <v>73</v>
      </c>
      <c r="AR14" s="162">
        <v>0</v>
      </c>
      <c r="AS14" s="162">
        <v>0</v>
      </c>
      <c r="AT14" s="41"/>
      <c r="AU14" s="41"/>
      <c r="AV14" s="41"/>
      <c r="AW14" s="41"/>
      <c r="AY14" s="429" t="s">
        <v>73</v>
      </c>
      <c r="AZ14" s="429">
        <v>0</v>
      </c>
      <c r="BA14" s="429">
        <v>0</v>
      </c>
      <c r="BB14" s="41"/>
      <c r="BC14" s="41"/>
      <c r="BD14" s="41"/>
      <c r="BE14" s="41"/>
      <c r="BG14" s="429" t="s">
        <v>73</v>
      </c>
      <c r="BH14" s="162">
        <v>0</v>
      </c>
      <c r="BI14" s="162">
        <v>0</v>
      </c>
      <c r="BJ14" s="41"/>
      <c r="BK14" s="41"/>
      <c r="BL14" s="41"/>
      <c r="BM14" s="41"/>
      <c r="BO14" s="429" t="s">
        <v>73</v>
      </c>
      <c r="BP14" s="429">
        <v>0</v>
      </c>
      <c r="BQ14" s="429">
        <v>0</v>
      </c>
      <c r="BR14" s="41"/>
      <c r="BS14" s="41"/>
      <c r="BT14" s="41"/>
      <c r="BU14" s="41"/>
      <c r="BW14" s="429" t="s">
        <v>73</v>
      </c>
      <c r="BX14" s="162">
        <v>0</v>
      </c>
      <c r="BY14" s="162">
        <v>0</v>
      </c>
      <c r="BZ14" s="41"/>
      <c r="CA14" s="41"/>
      <c r="CB14" s="41"/>
      <c r="CC14" s="41"/>
      <c r="CE14" s="162" t="s">
        <v>73</v>
      </c>
      <c r="CF14" s="231">
        <v>0</v>
      </c>
      <c r="CG14" s="231">
        <v>0</v>
      </c>
      <c r="CH14" s="41"/>
      <c r="CI14" s="41"/>
      <c r="CJ14" s="41"/>
      <c r="CK14" s="41"/>
      <c r="CM14" s="162" t="s">
        <v>73</v>
      </c>
      <c r="CN14" s="162">
        <v>0</v>
      </c>
      <c r="CO14" s="162">
        <v>0</v>
      </c>
      <c r="CP14" s="41"/>
      <c r="CQ14" s="41"/>
      <c r="CR14" s="41"/>
      <c r="CS14" s="41"/>
      <c r="CU14" s="162" t="s">
        <v>73</v>
      </c>
      <c r="CV14" s="162">
        <v>0</v>
      </c>
      <c r="CW14" s="162">
        <v>0</v>
      </c>
      <c r="CX14" s="41"/>
      <c r="CY14" s="41"/>
      <c r="CZ14" s="41"/>
      <c r="DA14" s="41"/>
      <c r="DC14" s="162" t="s">
        <v>73</v>
      </c>
      <c r="DD14" s="162">
        <v>0</v>
      </c>
      <c r="DE14" s="162">
        <v>0</v>
      </c>
      <c r="DF14" s="41"/>
      <c r="DG14" s="41"/>
      <c r="DH14" s="41"/>
      <c r="DI14" s="41"/>
      <c r="DK14" s="162" t="s">
        <v>73</v>
      </c>
      <c r="DL14" s="162">
        <v>0</v>
      </c>
      <c r="DM14" s="162">
        <v>0</v>
      </c>
      <c r="DN14" s="41"/>
      <c r="DO14" s="41"/>
      <c r="DP14" s="41"/>
      <c r="DQ14" s="41"/>
      <c r="DS14" s="162" t="s">
        <v>73</v>
      </c>
      <c r="DT14" s="162">
        <v>0</v>
      </c>
      <c r="DU14" s="162">
        <v>0</v>
      </c>
      <c r="DV14" s="41"/>
      <c r="DW14" s="41"/>
      <c r="DX14" s="41"/>
      <c r="DY14" s="41"/>
      <c r="EA14" s="162" t="s">
        <v>73</v>
      </c>
      <c r="EB14" s="162">
        <v>0</v>
      </c>
      <c r="EC14" s="162">
        <v>0</v>
      </c>
      <c r="ED14" s="41"/>
      <c r="EE14" s="41"/>
      <c r="EF14" s="41"/>
      <c r="EG14" s="41"/>
      <c r="EI14" s="162" t="s">
        <v>73</v>
      </c>
      <c r="EJ14" s="162"/>
      <c r="EK14" s="162"/>
      <c r="EL14" s="41"/>
      <c r="EM14" s="41"/>
      <c r="EN14" s="41"/>
      <c r="EO14" s="41"/>
    </row>
    <row r="15" spans="7:145" ht="12.9" thickBot="1" x14ac:dyDescent="0.35">
      <c r="G15" s="3"/>
      <c r="H15" s="3"/>
      <c r="I15" s="3"/>
      <c r="J15" s="3"/>
      <c r="K15" s="3"/>
      <c r="L15" s="3"/>
      <c r="M15" s="3" t="s">
        <v>101</v>
      </c>
      <c r="N15" s="1"/>
      <c r="O15" s="1"/>
      <c r="P15" s="1"/>
      <c r="Q15" s="1"/>
      <c r="R15" s="1"/>
      <c r="S15" s="1"/>
      <c r="U15" s="1"/>
      <c r="V15" s="1"/>
      <c r="W15" s="1"/>
      <c r="X15" s="1"/>
      <c r="Y15" s="1"/>
      <c r="Z15" s="1"/>
      <c r="AA15" s="162" t="s">
        <v>107</v>
      </c>
      <c r="AB15" s="162">
        <v>0</v>
      </c>
      <c r="AC15" s="162">
        <v>1933376.45</v>
      </c>
      <c r="AD15" s="41"/>
      <c r="AE15" s="41"/>
      <c r="AF15" s="41"/>
      <c r="AG15" s="41"/>
      <c r="AI15" s="429" t="s">
        <v>107</v>
      </c>
      <c r="AJ15" s="429">
        <v>0</v>
      </c>
      <c r="AK15" s="429">
        <v>1933260.68</v>
      </c>
      <c r="AL15" s="41"/>
      <c r="AM15" s="41"/>
      <c r="AN15" s="41"/>
      <c r="AO15" s="41"/>
      <c r="AQ15" s="162" t="s">
        <v>107</v>
      </c>
      <c r="AR15" s="162">
        <v>0</v>
      </c>
      <c r="AS15" s="162">
        <v>12938.54</v>
      </c>
      <c r="AT15" s="41"/>
      <c r="AU15" s="41"/>
      <c r="AV15" s="41"/>
      <c r="AW15" s="41"/>
      <c r="AY15" s="429" t="s">
        <v>107</v>
      </c>
      <c r="AZ15" s="429">
        <v>0</v>
      </c>
      <c r="BA15" s="429">
        <v>12957.18</v>
      </c>
      <c r="BB15" s="41"/>
      <c r="BC15" s="41"/>
      <c r="BD15" s="41"/>
      <c r="BE15" s="41"/>
      <c r="BG15" s="429" t="s">
        <v>107</v>
      </c>
      <c r="BH15" s="162">
        <v>0</v>
      </c>
      <c r="BI15" s="162">
        <v>215878.57</v>
      </c>
      <c r="BJ15" s="41"/>
      <c r="BK15" s="41"/>
      <c r="BL15" s="41"/>
      <c r="BM15" s="41"/>
      <c r="BO15" s="429" t="s">
        <v>107</v>
      </c>
      <c r="BP15" s="429">
        <v>0</v>
      </c>
      <c r="BQ15" s="429">
        <v>215836.23</v>
      </c>
      <c r="BR15" s="41"/>
      <c r="BS15" s="41"/>
      <c r="BT15" s="41"/>
      <c r="BU15" s="41"/>
      <c r="BW15" s="429" t="s">
        <v>107</v>
      </c>
      <c r="BX15" s="162">
        <v>0</v>
      </c>
      <c r="BY15" s="162">
        <v>162419.39000000001</v>
      </c>
      <c r="BZ15" s="41"/>
      <c r="CA15" s="41"/>
      <c r="CB15" s="41"/>
      <c r="CC15" s="41"/>
      <c r="CE15" s="162" t="s">
        <v>107</v>
      </c>
      <c r="CF15" s="231">
        <v>0</v>
      </c>
      <c r="CG15" s="231">
        <v>162419.39000000001</v>
      </c>
      <c r="CH15" s="41"/>
      <c r="CI15" s="41"/>
      <c r="CJ15" s="41"/>
      <c r="CK15" s="41"/>
      <c r="CM15" s="162" t="s">
        <v>107</v>
      </c>
      <c r="CN15" s="162">
        <v>0</v>
      </c>
      <c r="CO15" s="162">
        <v>203846.41</v>
      </c>
      <c r="CP15" s="41"/>
      <c r="CQ15" s="41"/>
      <c r="CR15" s="41"/>
      <c r="CS15" s="41"/>
      <c r="CU15" s="162" t="s">
        <v>107</v>
      </c>
      <c r="CV15" s="162">
        <v>0</v>
      </c>
      <c r="CW15" s="162">
        <v>203846.41</v>
      </c>
      <c r="CX15" s="41"/>
      <c r="CY15" s="41"/>
      <c r="CZ15" s="41"/>
      <c r="DA15" s="41"/>
      <c r="DC15" s="162" t="s">
        <v>107</v>
      </c>
      <c r="DD15" s="162">
        <v>0</v>
      </c>
      <c r="DE15" s="162">
        <v>213230.02</v>
      </c>
      <c r="DF15" s="41"/>
      <c r="DG15" s="41"/>
      <c r="DH15" s="41"/>
      <c r="DI15" s="41"/>
      <c r="DK15" s="162" t="s">
        <v>107</v>
      </c>
      <c r="DL15" s="162">
        <v>0</v>
      </c>
      <c r="DM15" s="162">
        <v>213230.02</v>
      </c>
      <c r="DN15" s="41"/>
      <c r="DO15" s="41"/>
      <c r="DP15" s="41"/>
      <c r="DQ15" s="41"/>
      <c r="DS15" s="162" t="s">
        <v>107</v>
      </c>
      <c r="DT15" s="162">
        <v>0</v>
      </c>
      <c r="DU15" s="162">
        <v>335661.92</v>
      </c>
      <c r="DV15" s="41"/>
      <c r="DW15" s="41"/>
      <c r="DX15" s="41"/>
      <c r="DY15" s="41"/>
      <c r="EA15" s="162" t="s">
        <v>107</v>
      </c>
      <c r="EB15" s="162">
        <v>0</v>
      </c>
      <c r="EC15" s="162">
        <v>335661.92</v>
      </c>
      <c r="ED15" s="41"/>
      <c r="EE15" s="41"/>
      <c r="EF15" s="41"/>
      <c r="EG15" s="41"/>
      <c r="EI15" s="162" t="s">
        <v>107</v>
      </c>
      <c r="EJ15" s="162"/>
      <c r="EK15" s="162"/>
      <c r="EL15" s="41"/>
      <c r="EM15" s="41"/>
      <c r="EN15" s="41"/>
      <c r="EO15" s="41"/>
    </row>
    <row r="16" spans="7:145" ht="12.9" thickBot="1" x14ac:dyDescent="0.35">
      <c r="G16" s="3"/>
      <c r="H16" s="3"/>
      <c r="I16" s="3" t="s">
        <v>101</v>
      </c>
      <c r="J16" s="3"/>
      <c r="K16" s="3"/>
      <c r="L16" s="3"/>
      <c r="M16" s="3"/>
      <c r="N16" s="1"/>
      <c r="O16" s="1"/>
      <c r="P16" s="1"/>
      <c r="Q16" s="1"/>
      <c r="R16" s="1"/>
      <c r="S16" s="1"/>
      <c r="U16" s="1"/>
      <c r="V16" s="1"/>
      <c r="W16" s="1"/>
      <c r="X16" s="1"/>
      <c r="Y16" s="1"/>
      <c r="Z16" s="1"/>
      <c r="AA16" s="162" t="s">
        <v>112</v>
      </c>
      <c r="AB16" s="162">
        <v>0</v>
      </c>
      <c r="AC16" s="162">
        <v>0</v>
      </c>
      <c r="AD16" s="41"/>
      <c r="AE16" s="41"/>
      <c r="AF16" s="41"/>
      <c r="AG16" s="41"/>
      <c r="AI16" s="429" t="s">
        <v>112</v>
      </c>
      <c r="AJ16" s="429">
        <v>0</v>
      </c>
      <c r="AK16" s="429">
        <v>0</v>
      </c>
      <c r="AL16" s="41"/>
      <c r="AM16" s="41"/>
      <c r="AN16" s="41"/>
      <c r="AO16" s="41"/>
      <c r="AQ16" s="162" t="s">
        <v>112</v>
      </c>
      <c r="AR16" s="162">
        <v>0</v>
      </c>
      <c r="AS16" s="162">
        <v>0</v>
      </c>
      <c r="AT16" s="41"/>
      <c r="AU16" s="41"/>
      <c r="AV16" s="41"/>
      <c r="AW16" s="41"/>
      <c r="AY16" s="429" t="s">
        <v>112</v>
      </c>
      <c r="AZ16" s="429">
        <v>0</v>
      </c>
      <c r="BA16" s="429">
        <v>0</v>
      </c>
      <c r="BB16" s="41"/>
      <c r="BC16" s="41"/>
      <c r="BD16" s="41"/>
      <c r="BE16" s="41"/>
      <c r="BG16" s="429" t="s">
        <v>112</v>
      </c>
      <c r="BH16" s="162">
        <v>0</v>
      </c>
      <c r="BI16" s="162">
        <v>0</v>
      </c>
      <c r="BJ16" s="41"/>
      <c r="BK16" s="41"/>
      <c r="BL16" s="41"/>
      <c r="BM16" s="41"/>
      <c r="BO16" s="429" t="s">
        <v>112</v>
      </c>
      <c r="BP16" s="429">
        <v>0</v>
      </c>
      <c r="BQ16" s="429">
        <v>0</v>
      </c>
      <c r="BR16" s="41"/>
      <c r="BS16" s="41"/>
      <c r="BT16" s="41"/>
      <c r="BU16" s="41"/>
      <c r="BW16" s="429" t="s">
        <v>112</v>
      </c>
      <c r="BX16" s="162">
        <v>0</v>
      </c>
      <c r="BY16" s="162">
        <v>0</v>
      </c>
      <c r="BZ16" s="41"/>
      <c r="CA16" s="41"/>
      <c r="CB16" s="41"/>
      <c r="CC16" s="41"/>
      <c r="CE16" s="162" t="s">
        <v>112</v>
      </c>
      <c r="CF16" s="231">
        <v>0</v>
      </c>
      <c r="CG16" s="231">
        <v>0</v>
      </c>
      <c r="CH16" s="41"/>
      <c r="CI16" s="41"/>
      <c r="CJ16" s="41"/>
      <c r="CK16" s="41"/>
      <c r="CM16" s="162" t="s">
        <v>112</v>
      </c>
      <c r="CN16" s="162">
        <v>0</v>
      </c>
      <c r="CO16" s="162">
        <v>0</v>
      </c>
      <c r="CP16" s="41"/>
      <c r="CQ16" s="41"/>
      <c r="CR16" s="41"/>
      <c r="CS16" s="41"/>
      <c r="CU16" s="162" t="s">
        <v>112</v>
      </c>
      <c r="CV16" s="162">
        <v>0</v>
      </c>
      <c r="CW16" s="162">
        <v>0</v>
      </c>
      <c r="CX16" s="41"/>
      <c r="CY16" s="41"/>
      <c r="CZ16" s="41"/>
      <c r="DA16" s="41"/>
      <c r="DC16" s="162" t="s">
        <v>112</v>
      </c>
      <c r="DD16" s="162">
        <v>0</v>
      </c>
      <c r="DE16" s="162">
        <v>0</v>
      </c>
      <c r="DF16" s="41"/>
      <c r="DG16" s="41"/>
      <c r="DH16" s="41"/>
      <c r="DI16" s="41"/>
      <c r="DK16" s="162" t="s">
        <v>112</v>
      </c>
      <c r="DL16" s="162">
        <v>0</v>
      </c>
      <c r="DM16" s="162">
        <v>0</v>
      </c>
      <c r="DN16" s="41"/>
      <c r="DO16" s="41"/>
      <c r="DP16" s="41"/>
      <c r="DQ16" s="41"/>
      <c r="DS16" s="162" t="s">
        <v>112</v>
      </c>
      <c r="DT16" s="162">
        <v>0</v>
      </c>
      <c r="DU16" s="162">
        <v>0</v>
      </c>
      <c r="DV16" s="41"/>
      <c r="DW16" s="41"/>
      <c r="DX16" s="41"/>
      <c r="DY16" s="41"/>
      <c r="EA16" s="162" t="s">
        <v>112</v>
      </c>
      <c r="EB16" s="162">
        <v>0</v>
      </c>
      <c r="EC16" s="162">
        <v>0</v>
      </c>
      <c r="ED16" s="41"/>
      <c r="EE16" s="41"/>
      <c r="EF16" s="41"/>
      <c r="EG16" s="41"/>
      <c r="EI16" s="162" t="s">
        <v>112</v>
      </c>
      <c r="EJ16" s="162"/>
      <c r="EK16" s="162"/>
      <c r="EL16" s="41"/>
      <c r="EM16" s="41"/>
      <c r="EN16" s="41"/>
      <c r="EO16" s="41"/>
    </row>
    <row r="17" spans="2:145" ht="12.9" thickBot="1" x14ac:dyDescent="0.35">
      <c r="G17" s="3"/>
      <c r="H17" s="3"/>
      <c r="I17" s="3"/>
      <c r="J17" s="3"/>
      <c r="K17" s="3"/>
      <c r="L17" s="3"/>
      <c r="M17" s="3"/>
      <c r="N17" s="1"/>
      <c r="O17" s="1"/>
      <c r="P17" s="1"/>
      <c r="Q17" s="1"/>
      <c r="R17" s="1"/>
      <c r="S17" s="1"/>
      <c r="U17" s="1"/>
      <c r="V17" s="1"/>
      <c r="W17" s="1"/>
      <c r="X17" s="1"/>
      <c r="Y17" s="1"/>
      <c r="Z17" s="1"/>
      <c r="AA17" s="162" t="s">
        <v>114</v>
      </c>
      <c r="AB17" s="162">
        <v>0</v>
      </c>
      <c r="AC17" s="162">
        <v>0</v>
      </c>
      <c r="AD17" s="41"/>
      <c r="AE17" s="41"/>
      <c r="AF17" s="41"/>
      <c r="AG17" s="41"/>
      <c r="AI17" s="429" t="s">
        <v>114</v>
      </c>
      <c r="AJ17" s="429">
        <v>0</v>
      </c>
      <c r="AK17" s="429">
        <v>0</v>
      </c>
      <c r="AL17" s="41"/>
      <c r="AM17" s="41"/>
      <c r="AN17" s="41"/>
      <c r="AO17" s="41"/>
      <c r="AQ17" s="162" t="s">
        <v>114</v>
      </c>
      <c r="AR17" s="162">
        <v>0</v>
      </c>
      <c r="AS17" s="162">
        <v>0</v>
      </c>
      <c r="AT17" s="41"/>
      <c r="AU17" s="41"/>
      <c r="AV17" s="41"/>
      <c r="AW17" s="41"/>
      <c r="AY17" s="429" t="s">
        <v>114</v>
      </c>
      <c r="AZ17" s="429">
        <v>0</v>
      </c>
      <c r="BA17" s="429">
        <v>0</v>
      </c>
      <c r="BB17" s="41"/>
      <c r="BC17" s="41"/>
      <c r="BD17" s="41"/>
      <c r="BE17" s="41"/>
      <c r="BG17" s="429" t="s">
        <v>114</v>
      </c>
      <c r="BH17" s="162">
        <v>0</v>
      </c>
      <c r="BI17" s="162">
        <v>0</v>
      </c>
      <c r="BJ17" s="41"/>
      <c r="BK17" s="41"/>
      <c r="BL17" s="41"/>
      <c r="BM17" s="41"/>
      <c r="BO17" s="429" t="s">
        <v>114</v>
      </c>
      <c r="BP17" s="429">
        <v>0</v>
      </c>
      <c r="BQ17" s="429">
        <v>0</v>
      </c>
      <c r="BR17" s="41"/>
      <c r="BS17" s="41"/>
      <c r="BT17" s="41"/>
      <c r="BU17" s="41"/>
      <c r="BW17" s="429" t="s">
        <v>114</v>
      </c>
      <c r="BX17" s="162">
        <v>0</v>
      </c>
      <c r="BY17" s="162">
        <v>0</v>
      </c>
      <c r="BZ17" s="41"/>
      <c r="CA17" s="41"/>
      <c r="CB17" s="41"/>
      <c r="CC17" s="41"/>
      <c r="CE17" s="162" t="s">
        <v>114</v>
      </c>
      <c r="CF17" s="231">
        <v>0</v>
      </c>
      <c r="CG17" s="231">
        <v>0</v>
      </c>
      <c r="CH17" s="41"/>
      <c r="CI17" s="41"/>
      <c r="CJ17" s="41"/>
      <c r="CK17" s="41"/>
      <c r="CM17" s="162" t="s">
        <v>114</v>
      </c>
      <c r="CN17" s="162">
        <v>0</v>
      </c>
      <c r="CO17" s="162">
        <v>0</v>
      </c>
      <c r="CP17" s="41"/>
      <c r="CQ17" s="41"/>
      <c r="CR17" s="41"/>
      <c r="CS17" s="41"/>
      <c r="CU17" s="162" t="s">
        <v>114</v>
      </c>
      <c r="CV17" s="162">
        <v>0</v>
      </c>
      <c r="CW17" s="162">
        <v>0</v>
      </c>
      <c r="CX17" s="41"/>
      <c r="CY17" s="41"/>
      <c r="CZ17" s="41"/>
      <c r="DA17" s="41"/>
      <c r="DC17" s="162" t="s">
        <v>114</v>
      </c>
      <c r="DD17" s="162">
        <v>0</v>
      </c>
      <c r="DE17" s="162">
        <v>0</v>
      </c>
      <c r="DF17" s="41"/>
      <c r="DG17" s="41"/>
      <c r="DH17" s="41"/>
      <c r="DI17" s="41"/>
      <c r="DK17" s="162" t="s">
        <v>114</v>
      </c>
      <c r="DL17" s="162">
        <v>0</v>
      </c>
      <c r="DM17" s="162">
        <v>0</v>
      </c>
      <c r="DN17" s="41"/>
      <c r="DO17" s="41"/>
      <c r="DP17" s="41"/>
      <c r="DQ17" s="41"/>
      <c r="DS17" s="162" t="s">
        <v>114</v>
      </c>
      <c r="DT17" s="162">
        <v>0</v>
      </c>
      <c r="DU17" s="162">
        <v>0</v>
      </c>
      <c r="DV17" s="41"/>
      <c r="DW17" s="41"/>
      <c r="DX17" s="41"/>
      <c r="DY17" s="41"/>
      <c r="EA17" s="162" t="s">
        <v>114</v>
      </c>
      <c r="EB17" s="162">
        <v>0</v>
      </c>
      <c r="EC17" s="162">
        <v>0</v>
      </c>
      <c r="ED17" s="41"/>
      <c r="EE17" s="41"/>
      <c r="EF17" s="41"/>
      <c r="EG17" s="41"/>
      <c r="EI17" s="162" t="s">
        <v>114</v>
      </c>
      <c r="EJ17" s="162"/>
      <c r="EK17" s="162"/>
      <c r="EL17" s="41"/>
      <c r="EM17" s="41"/>
      <c r="EN17" s="41"/>
      <c r="EO17" s="41"/>
    </row>
    <row r="18" spans="2:145" ht="12.9" thickBot="1" x14ac:dyDescent="0.35">
      <c r="AA18" s="162"/>
      <c r="AB18" s="162"/>
      <c r="AC18" s="162"/>
      <c r="AD18" s="41"/>
      <c r="AE18" s="41"/>
      <c r="AF18" s="41"/>
      <c r="AG18" s="41"/>
      <c r="AI18" s="429"/>
      <c r="AJ18" s="429"/>
      <c r="AK18" s="429"/>
      <c r="AL18" s="41"/>
      <c r="AM18" s="41"/>
      <c r="AN18" s="41"/>
      <c r="AO18" s="41"/>
      <c r="AQ18" s="162"/>
      <c r="AR18" s="162"/>
      <c r="AS18" s="162"/>
      <c r="AT18" s="41"/>
      <c r="AU18" s="41"/>
      <c r="AV18" s="41"/>
      <c r="AW18" s="41"/>
      <c r="AY18" s="429"/>
      <c r="AZ18" s="429"/>
      <c r="BA18" s="429"/>
      <c r="BB18" s="41"/>
      <c r="BC18" s="41"/>
      <c r="BD18" s="41"/>
      <c r="BE18" s="41"/>
      <c r="BG18" s="429"/>
      <c r="BH18" s="162"/>
      <c r="BI18" s="162"/>
      <c r="BJ18" s="41"/>
      <c r="BK18" s="41"/>
      <c r="BL18" s="41"/>
      <c r="BM18" s="41"/>
      <c r="BO18" s="429"/>
      <c r="BP18" s="429"/>
      <c r="BQ18" s="429"/>
      <c r="BR18" s="41"/>
      <c r="BS18" s="41"/>
      <c r="BT18" s="41"/>
      <c r="BU18" s="41"/>
      <c r="BW18" s="429"/>
      <c r="BX18" s="162"/>
      <c r="BY18" s="162"/>
      <c r="BZ18" s="41"/>
      <c r="CA18" s="41"/>
      <c r="CB18" s="41"/>
      <c r="CC18" s="41"/>
      <c r="CE18" s="162"/>
      <c r="CF18" s="231"/>
      <c r="CG18" s="231"/>
      <c r="CH18" s="41"/>
      <c r="CI18" s="41"/>
      <c r="CJ18" s="41"/>
      <c r="CK18" s="41"/>
      <c r="CM18" s="162"/>
      <c r="CN18" s="162"/>
      <c r="CO18" s="162"/>
      <c r="CP18" s="41"/>
      <c r="CQ18" s="41"/>
      <c r="CR18" s="41"/>
      <c r="CS18" s="41"/>
      <c r="CU18" s="162"/>
      <c r="CV18" s="162"/>
      <c r="CW18" s="162"/>
      <c r="CX18" s="41"/>
      <c r="CY18" s="41"/>
      <c r="CZ18" s="41"/>
      <c r="DA18" s="41"/>
      <c r="DC18" s="162"/>
      <c r="DD18" s="162"/>
      <c r="DE18" s="162"/>
      <c r="DF18" s="41"/>
      <c r="DG18" s="41"/>
      <c r="DH18" s="41"/>
      <c r="DI18" s="41"/>
      <c r="DK18" s="162"/>
      <c r="DL18" s="162"/>
      <c r="DM18" s="162"/>
      <c r="DN18" s="41"/>
      <c r="DO18" s="41"/>
      <c r="DP18" s="41"/>
      <c r="DQ18" s="41"/>
      <c r="DS18" s="162"/>
      <c r="DT18" s="162"/>
      <c r="DU18" s="162"/>
      <c r="DV18" s="41"/>
      <c r="DW18" s="41"/>
      <c r="DX18" s="41"/>
      <c r="DY18" s="41"/>
      <c r="EA18" s="162"/>
      <c r="EB18" s="162"/>
      <c r="EC18" s="162"/>
      <c r="ED18" s="41"/>
      <c r="EE18" s="41"/>
      <c r="EF18" s="41"/>
      <c r="EG18" s="41"/>
      <c r="EI18" s="162"/>
      <c r="EJ18" s="162"/>
      <c r="EK18" s="162"/>
      <c r="EL18" s="41"/>
      <c r="EM18" s="41"/>
      <c r="EN18" s="41"/>
      <c r="EO18" s="41"/>
    </row>
    <row r="19" spans="2:145" ht="12.9" thickBot="1" x14ac:dyDescent="0.35">
      <c r="AA19" s="162" t="s">
        <v>293</v>
      </c>
      <c r="AB19" s="162">
        <v>5751695.8499999996</v>
      </c>
      <c r="AC19" s="162">
        <v>18567465.48</v>
      </c>
      <c r="AD19" s="41"/>
      <c r="AE19" s="41"/>
      <c r="AF19" s="41"/>
      <c r="AG19" s="41"/>
      <c r="AI19" s="429" t="s">
        <v>293</v>
      </c>
      <c r="AJ19" s="429">
        <v>7732059.4500000002</v>
      </c>
      <c r="AK19" s="429">
        <v>2463780.09</v>
      </c>
      <c r="AL19" s="41"/>
      <c r="AM19" s="41"/>
      <c r="AN19" s="41"/>
      <c r="AO19" s="41"/>
      <c r="AQ19" s="162" t="s">
        <v>293</v>
      </c>
      <c r="AR19" s="162">
        <v>159263.72</v>
      </c>
      <c r="AS19" s="162">
        <v>328257.34999999998</v>
      </c>
      <c r="AT19" s="41"/>
      <c r="AU19" s="41"/>
      <c r="AV19" s="41"/>
      <c r="AW19" s="41"/>
      <c r="AY19" s="429" t="s">
        <v>293</v>
      </c>
      <c r="AZ19" s="429">
        <v>214487.62</v>
      </c>
      <c r="BA19" s="429">
        <v>12957.18</v>
      </c>
      <c r="BB19" s="41"/>
      <c r="BC19" s="41"/>
      <c r="BD19" s="41"/>
      <c r="BE19" s="41"/>
      <c r="BG19" s="429" t="s">
        <v>293</v>
      </c>
      <c r="BH19" s="162">
        <v>1282945.46</v>
      </c>
      <c r="BI19" s="162">
        <v>1910005.31</v>
      </c>
      <c r="BJ19" s="41"/>
      <c r="BK19" s="41"/>
      <c r="BL19" s="41"/>
      <c r="BM19" s="41"/>
      <c r="BO19" s="429" t="s">
        <v>293</v>
      </c>
      <c r="BP19" s="429">
        <v>1912285.83</v>
      </c>
      <c r="BQ19" s="429">
        <v>215836.23</v>
      </c>
      <c r="BR19" s="41"/>
      <c r="BS19" s="41"/>
      <c r="BT19" s="41"/>
      <c r="BU19" s="41"/>
      <c r="BW19" s="429" t="s">
        <v>293</v>
      </c>
      <c r="BX19" s="162">
        <v>774302.4</v>
      </c>
      <c r="BY19" s="162">
        <v>1125429.6100000001</v>
      </c>
      <c r="BZ19" s="41"/>
      <c r="CA19" s="41"/>
      <c r="CB19" s="41"/>
      <c r="CC19" s="41"/>
      <c r="CE19" s="162" t="s">
        <v>293</v>
      </c>
      <c r="CF19" s="231">
        <v>774302.4</v>
      </c>
      <c r="CG19" s="231">
        <v>1125429.6100000001</v>
      </c>
      <c r="CH19" s="41"/>
      <c r="CI19" s="41"/>
      <c r="CJ19" s="41"/>
      <c r="CK19" s="41"/>
      <c r="CM19" s="162" t="s">
        <v>293</v>
      </c>
      <c r="CN19" s="162">
        <v>1310484.28</v>
      </c>
      <c r="CO19" s="162">
        <v>1605713.76</v>
      </c>
      <c r="CP19" s="41"/>
      <c r="CQ19" s="41"/>
      <c r="CR19" s="41"/>
      <c r="CS19" s="41"/>
      <c r="CU19" s="162" t="s">
        <v>293</v>
      </c>
      <c r="CV19" s="162">
        <v>1310484.28</v>
      </c>
      <c r="CW19" s="162">
        <v>1605713.76</v>
      </c>
      <c r="CX19" s="41"/>
      <c r="CY19" s="41"/>
      <c r="CZ19" s="41"/>
      <c r="DA19" s="41"/>
      <c r="DC19" s="162" t="s">
        <v>293</v>
      </c>
      <c r="DD19" s="162">
        <v>1618660.2</v>
      </c>
      <c r="DE19" s="162">
        <v>1463188.02</v>
      </c>
      <c r="DF19" s="41"/>
      <c r="DG19" s="41"/>
      <c r="DH19" s="41"/>
      <c r="DI19" s="41"/>
      <c r="DK19" s="162" t="s">
        <v>293</v>
      </c>
      <c r="DL19" s="162">
        <v>1618660.2</v>
      </c>
      <c r="DM19" s="162">
        <v>1463188.02</v>
      </c>
      <c r="DN19" s="41"/>
      <c r="DO19" s="41"/>
      <c r="DP19" s="41"/>
      <c r="DQ19" s="41"/>
      <c r="DS19" s="162" t="s">
        <v>293</v>
      </c>
      <c r="DT19" s="162">
        <v>2323455.9300000002</v>
      </c>
      <c r="DU19" s="162">
        <v>2746266.88</v>
      </c>
      <c r="DV19" s="41"/>
      <c r="DW19" s="41"/>
      <c r="DX19" s="41"/>
      <c r="DY19" s="41"/>
      <c r="EA19" s="162" t="s">
        <v>293</v>
      </c>
      <c r="EB19" s="162">
        <v>2323455.9300000002</v>
      </c>
      <c r="EC19" s="162">
        <v>2746266.88</v>
      </c>
      <c r="ED19" s="41"/>
      <c r="EE19" s="41"/>
      <c r="EF19" s="41"/>
      <c r="EG19" s="41"/>
      <c r="EI19" s="162" t="s">
        <v>293</v>
      </c>
      <c r="EJ19" s="162"/>
      <c r="EK19" s="162"/>
      <c r="EL19" s="41"/>
      <c r="EM19" s="41"/>
      <c r="EN19" s="41"/>
      <c r="EO19" s="41"/>
    </row>
    <row r="20" spans="2:145" x14ac:dyDescent="0.3">
      <c r="AA20" s="65"/>
      <c r="AB20" s="66"/>
      <c r="AC20" s="66"/>
      <c r="AD20" s="66"/>
      <c r="AE20" s="66"/>
      <c r="AF20" s="66"/>
      <c r="AG20" s="66"/>
      <c r="AI20" s="65"/>
      <c r="AJ20" s="66"/>
      <c r="AK20" s="66"/>
      <c r="AL20" s="66"/>
      <c r="AM20" s="66"/>
      <c r="AN20" s="66"/>
      <c r="AO20" s="66"/>
      <c r="AQ20" s="65"/>
      <c r="AR20" s="66"/>
      <c r="AS20" s="66"/>
      <c r="AT20" s="66"/>
      <c r="AU20" s="66"/>
      <c r="AV20" s="66"/>
      <c r="AW20" s="66"/>
      <c r="AY20" s="65"/>
      <c r="AZ20" s="66"/>
      <c r="BA20" s="66"/>
      <c r="BB20" s="66"/>
      <c r="BC20" s="66"/>
      <c r="BD20" s="66"/>
      <c r="BE20" s="66"/>
      <c r="BG20" s="65"/>
      <c r="BH20" s="66"/>
      <c r="BI20" s="66"/>
      <c r="BJ20" s="66"/>
      <c r="BK20" s="66"/>
      <c r="BL20" s="66"/>
      <c r="BM20" s="66"/>
      <c r="BO20" s="65"/>
      <c r="BP20" s="66"/>
      <c r="BQ20" s="66"/>
      <c r="BR20" s="66"/>
      <c r="BS20" s="66"/>
      <c r="BT20" s="66"/>
      <c r="BU20" s="66"/>
      <c r="BW20" s="65"/>
      <c r="BX20" s="66"/>
      <c r="BY20" s="66"/>
      <c r="BZ20" s="66"/>
      <c r="CA20" s="66"/>
      <c r="CB20" s="66"/>
      <c r="CC20" s="66"/>
      <c r="CE20" s="65"/>
      <c r="CF20" s="66"/>
      <c r="CG20" s="66"/>
      <c r="CH20" s="66"/>
      <c r="CI20" s="66"/>
      <c r="CJ20" s="66"/>
      <c r="CK20" s="66"/>
      <c r="CM20" s="65"/>
      <c r="CN20" s="66"/>
      <c r="CO20" s="66"/>
      <c r="CP20" s="66"/>
      <c r="CQ20" s="66"/>
      <c r="CR20" s="66"/>
      <c r="CS20" s="66"/>
      <c r="CU20" s="65"/>
      <c r="CV20" s="66"/>
      <c r="CW20" s="66"/>
      <c r="CX20" s="66"/>
      <c r="CY20" s="66"/>
      <c r="CZ20" s="66"/>
      <c r="DA20" s="66"/>
      <c r="DC20" s="65"/>
      <c r="DD20" s="66"/>
      <c r="DE20" s="66"/>
      <c r="DF20" s="66"/>
      <c r="DG20" s="66"/>
      <c r="DH20" s="66"/>
      <c r="DI20" s="66"/>
      <c r="DK20" s="65"/>
      <c r="DL20" s="66"/>
      <c r="DM20" s="66"/>
      <c r="DN20" s="66"/>
      <c r="DO20" s="66"/>
      <c r="DP20" s="66"/>
      <c r="DQ20" s="66"/>
      <c r="DS20" s="65"/>
      <c r="DT20" s="66"/>
      <c r="DU20" s="66"/>
      <c r="DV20" s="66"/>
      <c r="DW20" s="66"/>
      <c r="DX20" s="66"/>
      <c r="DY20" s="66"/>
      <c r="EA20" s="65"/>
      <c r="EB20" s="66"/>
      <c r="EC20" s="66"/>
      <c r="ED20" s="66"/>
      <c r="EE20" s="66"/>
      <c r="EF20" s="66"/>
      <c r="EG20" s="66"/>
      <c r="EI20" s="65"/>
      <c r="EJ20" s="66"/>
      <c r="EK20" s="66"/>
      <c r="EL20" s="66"/>
      <c r="EM20" s="66"/>
      <c r="EN20" s="66"/>
      <c r="EO20" s="66"/>
    </row>
    <row r="21" spans="2:145" x14ac:dyDescent="0.3">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67"/>
      <c r="AB21" s="68"/>
      <c r="AC21" s="68"/>
      <c r="AD21" s="68"/>
      <c r="AE21" s="68"/>
      <c r="AF21" s="68"/>
      <c r="AG21" s="68"/>
      <c r="AH21" s="14"/>
      <c r="AI21" s="67"/>
      <c r="AJ21" s="68"/>
      <c r="AK21" s="68"/>
      <c r="AL21" s="68"/>
      <c r="AM21" s="68"/>
      <c r="AN21" s="68"/>
      <c r="AO21" s="68"/>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U21" s="14"/>
      <c r="CV21" s="14"/>
      <c r="CW21" s="14"/>
      <c r="CX21" s="14"/>
      <c r="CY21" s="14"/>
      <c r="CZ21" s="14"/>
      <c r="DA21" s="14"/>
      <c r="DC21" s="14"/>
      <c r="DD21" s="14"/>
      <c r="DE21" s="14"/>
      <c r="DF21" s="14"/>
      <c r="DG21" s="14"/>
      <c r="DH21" s="14"/>
      <c r="DI21" s="14"/>
      <c r="DK21" s="14"/>
      <c r="DL21" s="14"/>
      <c r="DM21" s="14"/>
      <c r="DN21" s="14"/>
      <c r="DO21" s="14"/>
      <c r="DP21" s="14"/>
      <c r="DQ21" s="14"/>
      <c r="DS21" s="14"/>
      <c r="DT21" s="14"/>
      <c r="DU21" s="14"/>
      <c r="DV21" s="14"/>
      <c r="DW21" s="14"/>
      <c r="DX21" s="14"/>
      <c r="DY21" s="14"/>
      <c r="EA21" s="14"/>
      <c r="EB21" s="14"/>
      <c r="EC21" s="14"/>
      <c r="ED21" s="14"/>
      <c r="EE21" s="14"/>
      <c r="EF21" s="14"/>
      <c r="EG21" s="14"/>
      <c r="EI21" s="14"/>
      <c r="EJ21" s="14"/>
      <c r="EK21" s="14"/>
      <c r="EL21" s="14"/>
      <c r="EM21" s="14"/>
      <c r="EN21" s="14"/>
      <c r="EO21" s="14"/>
    </row>
    <row r="22" spans="2:145" ht="12.9" thickBot="1" x14ac:dyDescent="0.35">
      <c r="B22" s="83" t="s">
        <v>15</v>
      </c>
      <c r="C22" s="1">
        <v>0</v>
      </c>
      <c r="D22" s="1">
        <v>1</v>
      </c>
      <c r="E22" s="1"/>
      <c r="F22" s="1"/>
      <c r="G22" s="1">
        <v>2</v>
      </c>
      <c r="H22" s="1">
        <v>3</v>
      </c>
      <c r="I22" s="1">
        <v>4</v>
      </c>
      <c r="J22" s="1">
        <v>5</v>
      </c>
      <c r="K22" s="1">
        <v>6</v>
      </c>
      <c r="L22" s="1">
        <v>7</v>
      </c>
      <c r="M22" s="1">
        <v>8</v>
      </c>
      <c r="N22" s="1">
        <v>9</v>
      </c>
      <c r="O22" s="1">
        <v>10</v>
      </c>
      <c r="P22" s="1">
        <v>11</v>
      </c>
      <c r="Q22" s="1">
        <v>12</v>
      </c>
      <c r="R22" s="1">
        <v>13</v>
      </c>
      <c r="S22" s="1">
        <v>14</v>
      </c>
      <c r="U22" s="1"/>
      <c r="V22" s="1"/>
    </row>
    <row r="23" spans="2:145" s="22" customFormat="1" ht="49.75" x14ac:dyDescent="0.3">
      <c r="C23" s="475" t="str">
        <f>'Neighborhood Inputs'!N2</f>
        <v>262 Homes - Existing</v>
      </c>
      <c r="D23" s="476" t="str">
        <f>'Neighborhood Inputs'!O2</f>
        <v>262 Homes - Geo</v>
      </c>
      <c r="E23" s="592" t="s">
        <v>566</v>
      </c>
      <c r="F23" s="592" t="s">
        <v>568</v>
      </c>
      <c r="G23" s="475" t="str">
        <f>'Neighborhood Inputs'!P2</f>
        <v>Community Center - Existing</v>
      </c>
      <c r="H23" s="476" t="str">
        <f>'Neighborhood Inputs'!Q2</f>
        <v>Community Center - Geo</v>
      </c>
      <c r="I23" s="475" t="str">
        <f>'Neighborhood Inputs'!R2</f>
        <v>Bryant Elementary - Existing</v>
      </c>
      <c r="J23" s="476" t="str">
        <f>'Neighborhood Inputs'!S2</f>
        <v>Bryant Elementary - Geo</v>
      </c>
      <c r="K23" s="475" t="str">
        <f>'Neighborhood Inputs'!T2</f>
        <v>County Health - Existing</v>
      </c>
      <c r="L23" s="476" t="str">
        <f>'Neighborhood Inputs'!U2</f>
        <v>County Health - Geo</v>
      </c>
      <c r="M23" s="475" t="str">
        <f>'Neighborhood Inputs'!V2</f>
        <v>Wheeler Center - Existing</v>
      </c>
      <c r="N23" s="476" t="str">
        <f>'Neighborhood Inputs'!W2</f>
        <v>Wheeler Center - Geo</v>
      </c>
      <c r="O23" s="475" t="str">
        <f>'Neighborhood Inputs'!X2</f>
        <v>Wheeler Maintenance (S) - Existing</v>
      </c>
      <c r="P23" s="476" t="str">
        <f>'Neighborhood Inputs'!Y2</f>
        <v>Wheeler Maintenance (S) - Geo</v>
      </c>
      <c r="Q23" s="475" t="str">
        <f>'Neighborhood Inputs'!Z2</f>
        <v>Wheeler Vehicle Storage (E) - Existing</v>
      </c>
      <c r="R23" s="476" t="str">
        <f>'Neighborhood Inputs'!AA2</f>
        <v>Wheeler Vehicle Storage (E) - Geo</v>
      </c>
      <c r="S23" s="477" t="str">
        <f>'Neighborhood Inputs'!AB2</f>
        <v>Central Geo Pumping (Homes Only)</v>
      </c>
      <c r="T23"/>
      <c r="U23" s="486" t="s">
        <v>402</v>
      </c>
      <c r="V23" s="476" t="s">
        <v>403</v>
      </c>
      <c r="W23" s="601" t="s">
        <v>569</v>
      </c>
      <c r="X23" s="620" t="s">
        <v>567</v>
      </c>
      <c r="Y23" s="593" t="s">
        <v>572</v>
      </c>
      <c r="Z23" s="188"/>
      <c r="AB23" s="21" t="s">
        <v>76</v>
      </c>
      <c r="AC23" s="21" t="s">
        <v>79</v>
      </c>
      <c r="AD23" s="21" t="s">
        <v>83</v>
      </c>
      <c r="AE23" s="21" t="s">
        <v>82</v>
      </c>
      <c r="AF23" s="21" t="s">
        <v>81</v>
      </c>
      <c r="AG23" s="82" t="s">
        <v>2</v>
      </c>
      <c r="AJ23" s="21" t="s">
        <v>76</v>
      </c>
      <c r="AK23" s="21" t="s">
        <v>79</v>
      </c>
      <c r="AL23" s="21" t="s">
        <v>83</v>
      </c>
      <c r="AM23" s="21" t="s">
        <v>82</v>
      </c>
      <c r="AN23" s="21" t="s">
        <v>81</v>
      </c>
      <c r="AO23" s="82" t="s">
        <v>2</v>
      </c>
      <c r="AP23" s="188"/>
      <c r="AR23" s="21" t="s">
        <v>76</v>
      </c>
      <c r="AS23" s="21" t="s">
        <v>79</v>
      </c>
      <c r="AT23" s="21" t="s">
        <v>83</v>
      </c>
      <c r="AU23" s="21" t="s">
        <v>82</v>
      </c>
      <c r="AV23" s="21" t="s">
        <v>81</v>
      </c>
      <c r="AW23" s="82" t="s">
        <v>2</v>
      </c>
      <c r="AX23" s="188"/>
      <c r="AZ23" s="21" t="s">
        <v>76</v>
      </c>
      <c r="BA23" s="21" t="s">
        <v>79</v>
      </c>
      <c r="BB23" s="21" t="s">
        <v>83</v>
      </c>
      <c r="BC23" s="21" t="s">
        <v>82</v>
      </c>
      <c r="BD23" s="21" t="s">
        <v>81</v>
      </c>
      <c r="BE23" s="82" t="s">
        <v>2</v>
      </c>
      <c r="BH23" s="21" t="s">
        <v>76</v>
      </c>
      <c r="BI23" s="21" t="s">
        <v>79</v>
      </c>
      <c r="BJ23" s="21" t="s">
        <v>83</v>
      </c>
      <c r="BK23" s="21" t="s">
        <v>82</v>
      </c>
      <c r="BL23" s="21" t="s">
        <v>81</v>
      </c>
      <c r="BM23" s="82" t="s">
        <v>2</v>
      </c>
      <c r="BP23" s="21" t="s">
        <v>76</v>
      </c>
      <c r="BQ23" s="21" t="s">
        <v>79</v>
      </c>
      <c r="BR23" s="21" t="s">
        <v>83</v>
      </c>
      <c r="BS23" s="21" t="s">
        <v>82</v>
      </c>
      <c r="BT23" s="21" t="s">
        <v>81</v>
      </c>
      <c r="BU23" s="82" t="s">
        <v>2</v>
      </c>
      <c r="BX23" s="21" t="s">
        <v>76</v>
      </c>
      <c r="BY23" s="21" t="s">
        <v>79</v>
      </c>
      <c r="BZ23" s="21" t="s">
        <v>83</v>
      </c>
      <c r="CA23" s="21" t="s">
        <v>82</v>
      </c>
      <c r="CB23" s="21" t="s">
        <v>81</v>
      </c>
      <c r="CC23" s="82" t="s">
        <v>2</v>
      </c>
      <c r="CF23" s="21" t="s">
        <v>76</v>
      </c>
      <c r="CG23" s="21" t="s">
        <v>79</v>
      </c>
      <c r="CH23" s="21" t="s">
        <v>83</v>
      </c>
      <c r="CI23" s="21" t="s">
        <v>82</v>
      </c>
      <c r="CJ23" s="21" t="s">
        <v>81</v>
      </c>
      <c r="CK23" s="82" t="s">
        <v>2</v>
      </c>
      <c r="CN23" s="21" t="s">
        <v>76</v>
      </c>
      <c r="CO23" s="21" t="s">
        <v>79</v>
      </c>
      <c r="CP23" s="21" t="s">
        <v>83</v>
      </c>
      <c r="CQ23" s="21" t="s">
        <v>82</v>
      </c>
      <c r="CR23" s="21" t="s">
        <v>81</v>
      </c>
      <c r="CS23" s="82" t="s">
        <v>2</v>
      </c>
      <c r="CV23" s="21" t="s">
        <v>76</v>
      </c>
      <c r="CW23" s="21" t="s">
        <v>79</v>
      </c>
      <c r="CX23" s="21" t="s">
        <v>83</v>
      </c>
      <c r="CY23" s="21" t="s">
        <v>82</v>
      </c>
      <c r="CZ23" s="21" t="s">
        <v>81</v>
      </c>
      <c r="DA23" s="82" t="s">
        <v>2</v>
      </c>
      <c r="DD23" s="21" t="s">
        <v>76</v>
      </c>
      <c r="DE23" s="21" t="s">
        <v>79</v>
      </c>
      <c r="DF23" s="21" t="s">
        <v>83</v>
      </c>
      <c r="DG23" s="21" t="s">
        <v>82</v>
      </c>
      <c r="DH23" s="21" t="s">
        <v>81</v>
      </c>
      <c r="DI23" s="82" t="s">
        <v>2</v>
      </c>
      <c r="DL23" s="21" t="s">
        <v>76</v>
      </c>
      <c r="DM23" s="21" t="s">
        <v>79</v>
      </c>
      <c r="DN23" s="21" t="s">
        <v>83</v>
      </c>
      <c r="DO23" s="21" t="s">
        <v>82</v>
      </c>
      <c r="DP23" s="21" t="s">
        <v>81</v>
      </c>
      <c r="DQ23" s="82" t="s">
        <v>2</v>
      </c>
      <c r="DT23" s="21" t="s">
        <v>76</v>
      </c>
      <c r="DU23" s="21" t="s">
        <v>79</v>
      </c>
      <c r="DV23" s="21" t="s">
        <v>83</v>
      </c>
      <c r="DW23" s="21" t="s">
        <v>82</v>
      </c>
      <c r="DX23" s="21" t="s">
        <v>81</v>
      </c>
      <c r="DY23" s="82" t="s">
        <v>2</v>
      </c>
      <c r="EB23" s="21" t="s">
        <v>76</v>
      </c>
      <c r="EC23" s="21" t="s">
        <v>79</v>
      </c>
      <c r="ED23" s="21" t="s">
        <v>83</v>
      </c>
      <c r="EE23" s="21" t="s">
        <v>82</v>
      </c>
      <c r="EF23" s="21" t="s">
        <v>81</v>
      </c>
      <c r="EG23" s="82" t="s">
        <v>2</v>
      </c>
      <c r="EJ23" s="21" t="s">
        <v>76</v>
      </c>
      <c r="EK23" s="21" t="s">
        <v>79</v>
      </c>
      <c r="EL23" s="21" t="s">
        <v>83</v>
      </c>
      <c r="EM23" s="21" t="s">
        <v>82</v>
      </c>
      <c r="EN23" s="21" t="s">
        <v>81</v>
      </c>
      <c r="EO23" s="82" t="s">
        <v>2</v>
      </c>
    </row>
    <row r="24" spans="2:145" x14ac:dyDescent="0.3">
      <c r="B24" s="197" t="s">
        <v>89</v>
      </c>
      <c r="C24" s="202">
        <f t="shared" ref="C24:D31" ca="1" si="0">OFFSET($AA24,0,(6+8*C$22))</f>
        <v>2.8661496566610816</v>
      </c>
      <c r="D24" s="203">
        <f t="shared" ca="1" si="0"/>
        <v>2.8661496566610816</v>
      </c>
      <c r="E24" s="207"/>
      <c r="F24" s="207"/>
      <c r="G24" s="202">
        <f t="shared" ref="G24:R31" ca="1" si="1">OFFSET($AA24,0,(6+8*G$22))</f>
        <v>8.3462056578356538</v>
      </c>
      <c r="H24" s="203">
        <f t="shared" ca="1" si="1"/>
        <v>8.3462056578356538</v>
      </c>
      <c r="I24" s="202">
        <f t="shared" ca="1" si="1"/>
        <v>8.6401813974187807</v>
      </c>
      <c r="J24" s="203">
        <f t="shared" ca="1" si="1"/>
        <v>8.6401813974187807</v>
      </c>
      <c r="K24" s="202">
        <f t="shared" ca="1" si="1"/>
        <v>7.4719048532514867</v>
      </c>
      <c r="L24" s="203">
        <f t="shared" ca="1" si="1"/>
        <v>7.4719048532514867</v>
      </c>
      <c r="M24" s="202">
        <f t="shared" ca="1" si="1"/>
        <v>5.898783264150139</v>
      </c>
      <c r="N24" s="203">
        <f t="shared" ca="1" si="1"/>
        <v>5.898783264150139</v>
      </c>
      <c r="O24" s="202">
        <f t="shared" ca="1" si="1"/>
        <v>5.8987824193693763</v>
      </c>
      <c r="P24" s="203">
        <f t="shared" ca="1" si="1"/>
        <v>5.8987824193693763</v>
      </c>
      <c r="Q24" s="202">
        <f t="shared" ca="1" si="1"/>
        <v>5.8988341777027227</v>
      </c>
      <c r="R24" s="203">
        <f t="shared" ca="1" si="1"/>
        <v>5.8988341777027227</v>
      </c>
      <c r="S24" s="605"/>
      <c r="U24" s="470"/>
      <c r="V24" s="602"/>
      <c r="X24" s="470"/>
      <c r="Y24" s="588"/>
      <c r="AA24" s="21" t="s">
        <v>89</v>
      </c>
      <c r="AB24" s="16">
        <f>SUMIFS(AB4:AB17,$G$4:$G$17,"x")</f>
        <v>628966.31000000006</v>
      </c>
      <c r="AC24" s="16">
        <f>SUMIFS(AC4:AC17,$G$4:$G$17,"x")</f>
        <v>0</v>
      </c>
      <c r="AD24" s="16">
        <f>SUMIFS(AD4:AD17,$G$4:$G$17,"x")</f>
        <v>0</v>
      </c>
      <c r="AE24" s="16">
        <f>SUMIFS(AE4:AE17,$G$4:$G$17,"x")</f>
        <v>0</v>
      </c>
      <c r="AF24" s="16">
        <f>SUMIFS(AF4:AF17,$G$4:$G$17,"x")</f>
        <v>0</v>
      </c>
      <c r="AG24" s="71">
        <f>SUM(AB24:AF24)/'Neighborhood Inputs'!$D$28</f>
        <v>2.8661496566610816</v>
      </c>
      <c r="AI24" s="21" t="s">
        <v>89</v>
      </c>
      <c r="AJ24" s="16">
        <f>SUMIFS(AJ4:AJ17,$G$4:$G$17,"x")</f>
        <v>628966.31000000006</v>
      </c>
      <c r="AK24" s="16">
        <f>SUMIFS(AK4:AK17,$G$4:$G$17,"x")</f>
        <v>0</v>
      </c>
      <c r="AL24" s="16">
        <f>SUMIFS(AL4:AL17,$G$4:$G$17,"x")</f>
        <v>0</v>
      </c>
      <c r="AM24" s="16">
        <f>SUMIFS(AM4:AM17,$G$4:$G$17,"x")</f>
        <v>0</v>
      </c>
      <c r="AN24" s="16">
        <f>SUMIFS(AN4:AN17,$G$4:$G$17,"x")</f>
        <v>0</v>
      </c>
      <c r="AO24" s="71">
        <f>SUM(AJ24:AN24)/'Neighborhood Inputs'!$D$28</f>
        <v>2.8661496566610816</v>
      </c>
      <c r="AP24" s="180"/>
      <c r="AQ24" s="21" t="s">
        <v>89</v>
      </c>
      <c r="AR24" s="16">
        <f>SUMIFS(AR4:AR17,$G$4:$G$17,"x")</f>
        <v>37174</v>
      </c>
      <c r="AS24" s="16">
        <f>SUMIFS(AS4:AS17,$G$4:$G$17,"x")</f>
        <v>0</v>
      </c>
      <c r="AT24" s="16">
        <f>SUMIFS(AT4:AT17,$G$4:$G$17,"x")</f>
        <v>0</v>
      </c>
      <c r="AU24" s="16">
        <f>SUMIFS(AU4:AU17,$G$4:$G$17,"x")</f>
        <v>0</v>
      </c>
      <c r="AV24" s="16">
        <f>SUMIFS(AV4:AV17,$G$4:$G$17,"x")</f>
        <v>0</v>
      </c>
      <c r="AW24" s="71">
        <f>SUM(AR24:AV24)/'Neighborhood Inputs'!$E$28</f>
        <v>8.3462056578356538</v>
      </c>
      <c r="AX24" s="180"/>
      <c r="AY24" s="21" t="s">
        <v>89</v>
      </c>
      <c r="AZ24" s="16">
        <f>SUMIFS(AZ4:AZ17,$G$4:$G$17,"x")</f>
        <v>37174</v>
      </c>
      <c r="BA24" s="16">
        <f>SUMIFS(BA4:BA17,$G$4:$G$17,"x")</f>
        <v>0</v>
      </c>
      <c r="BB24" s="16">
        <f>SUMIFS(BB4:BB17,$G$4:$G$17,"x")</f>
        <v>0</v>
      </c>
      <c r="BC24" s="16">
        <f>SUMIFS(BC4:BC17,$G$4:$G$17,"x")</f>
        <v>0</v>
      </c>
      <c r="BD24" s="16">
        <f>SUMIFS(BD4:BD17,$G$4:$G$17,"x")</f>
        <v>0</v>
      </c>
      <c r="BE24" s="71">
        <f>SUM(AZ24:BD24)/'Neighborhood Inputs'!$E$28</f>
        <v>8.3462056578356538</v>
      </c>
      <c r="BG24" s="21" t="s">
        <v>89</v>
      </c>
      <c r="BH24" s="16">
        <f>SUMIFS(BH4:BH17,$G$4:$G$17,"x")</f>
        <v>485362.19</v>
      </c>
      <c r="BI24" s="16">
        <f>SUMIFS(BI4:BI17,$G$4:$G$17,"x")</f>
        <v>0</v>
      </c>
      <c r="BJ24" s="16">
        <f>SUMIFS(BJ4:BJ17,$G$4:$G$17,"x")</f>
        <v>0</v>
      </c>
      <c r="BK24" s="16">
        <f>SUMIFS(BK4:BK17,$G$4:$G$17,"x")</f>
        <v>0</v>
      </c>
      <c r="BL24" s="16">
        <f>SUMIFS(BL4:BL17,$G$4:$G$17,"x")</f>
        <v>0</v>
      </c>
      <c r="BM24" s="71">
        <f>SUM(BH24:BL24)/'Neighborhood Inputs'!$F$28</f>
        <v>8.6401813974187807</v>
      </c>
      <c r="BO24" s="21" t="s">
        <v>89</v>
      </c>
      <c r="BP24" s="16">
        <f>SUMIFS(BP4:BP17,$G$4:$G$17,"x")</f>
        <v>485362.19</v>
      </c>
      <c r="BQ24" s="16">
        <f>SUMIFS(BQ4:BQ17,$G$4:$G$17,"x")</f>
        <v>0</v>
      </c>
      <c r="BR24" s="16">
        <f>SUMIFS(BR4:BR17,$G$4:$G$17,"x")</f>
        <v>0</v>
      </c>
      <c r="BS24" s="16">
        <f>SUMIFS(BS4:BS17,$G$4:$G$17,"x")</f>
        <v>0</v>
      </c>
      <c r="BT24" s="16">
        <f>SUMIFS(BT4:BT17,$G$4:$G$17,"x")</f>
        <v>0</v>
      </c>
      <c r="BU24" s="71">
        <f>SUM(BP24:BT24)/'Neighborhood Inputs'!$F$28</f>
        <v>8.6401813974187807</v>
      </c>
      <c r="BW24" s="21" t="s">
        <v>89</v>
      </c>
      <c r="BX24" s="16">
        <f>SUMIFS(BX4:BX17,$G$4:$G$17,"x")</f>
        <v>233706.23999999999</v>
      </c>
      <c r="BY24" s="16">
        <f>SUMIFS(BY4:BY17,$G$4:$G$17,"x")</f>
        <v>0</v>
      </c>
      <c r="BZ24" s="16">
        <f>SUMIFS(BZ4:BZ17,$G$4:$G$17,"x")</f>
        <v>0</v>
      </c>
      <c r="CA24" s="16">
        <f>SUMIFS(CA4:CA17,$G$4:$G$17,"x")</f>
        <v>0</v>
      </c>
      <c r="CB24" s="16">
        <f>SUMIFS(CB4:CB17,$G$4:$G$17,"x")</f>
        <v>0</v>
      </c>
      <c r="CC24" s="71">
        <f>SUM(BX24:CB24)/'Neighborhood Inputs'!$G$28</f>
        <v>7.4719048532514867</v>
      </c>
      <c r="CE24" s="21" t="s">
        <v>89</v>
      </c>
      <c r="CF24" s="16">
        <f>SUMIFS(CF4:CF17,$G$4:$G$17,"x")</f>
        <v>233706.23999999999</v>
      </c>
      <c r="CG24" s="16">
        <f>SUMIFS(CG4:CG17,$G$4:$G$17,"x")</f>
        <v>0</v>
      </c>
      <c r="CH24" s="16">
        <f>SUMIFS(CH4:CH17,$G$4:$G$17,"x")</f>
        <v>0</v>
      </c>
      <c r="CI24" s="16">
        <f>SUMIFS(CI4:CI17,$G$4:$G$17,"x")</f>
        <v>0</v>
      </c>
      <c r="CJ24" s="16">
        <f>SUMIFS(CJ4:CJ17,$G$4:$G$17,"x")</f>
        <v>0</v>
      </c>
      <c r="CK24" s="71">
        <f>SUM(CF24:CJ24)/'Neighborhood Inputs'!$G$28</f>
        <v>7.4719048532514867</v>
      </c>
      <c r="CM24" s="21" t="s">
        <v>89</v>
      </c>
      <c r="CN24" s="16">
        <f>SUMIFS(CN4:CN17,$G$4:$G$17,"x")</f>
        <v>240811.81</v>
      </c>
      <c r="CO24" s="16">
        <f>SUMIFS(CO4:CO17,$G$4:$G$17,"x")</f>
        <v>0</v>
      </c>
      <c r="CP24" s="16">
        <f>SUMIFS(CP4:CP17,$G$4:$G$17,"x")</f>
        <v>0</v>
      </c>
      <c r="CQ24" s="16">
        <f>SUMIFS(CQ4:CQ17,$G$4:$G$17,"x")</f>
        <v>0</v>
      </c>
      <c r="CR24" s="16">
        <f>SUMIFS(CR4:CR17,$G$4:$G$17,"x")</f>
        <v>0</v>
      </c>
      <c r="CS24" s="71">
        <f>SUM(CN24:CR24)/'Neighborhood Inputs'!$H$28</f>
        <v>5.898783264150139</v>
      </c>
      <c r="CU24" s="21" t="s">
        <v>89</v>
      </c>
      <c r="CV24" s="16">
        <f>SUMIFS(CV4:CV17,$G$4:$G$17,"x")</f>
        <v>240811.81</v>
      </c>
      <c r="CW24" s="16">
        <f>SUMIFS(CW4:CW17,$G$4:$G$17,"x")</f>
        <v>0</v>
      </c>
      <c r="CX24" s="16">
        <f>SUMIFS(CX4:CX17,$G$4:$G$17,"x")</f>
        <v>0</v>
      </c>
      <c r="CY24" s="16">
        <f>SUMIFS(CY4:CY17,$G$4:$G$17,"x")</f>
        <v>0</v>
      </c>
      <c r="CZ24" s="16">
        <f>SUMIFS(CZ4:CZ17,$G$4:$G$17,"x")</f>
        <v>0</v>
      </c>
      <c r="DA24" s="71">
        <f>SUM(CV24:CZ24)/'Neighborhood Inputs'!$H$28</f>
        <v>5.898783264150139</v>
      </c>
      <c r="DC24" s="21" t="s">
        <v>89</v>
      </c>
      <c r="DD24" s="16">
        <f>SUMIFS(DD4:DD17,$G$4:$G$17,"x")</f>
        <v>251312.67</v>
      </c>
      <c r="DE24" s="16">
        <f>SUMIFS(DE4:DE17,$G$4:$G$17,"x")</f>
        <v>0</v>
      </c>
      <c r="DF24" s="16">
        <f>SUMIFS(DF4:DF17,$G$4:$G$17,"x")</f>
        <v>0</v>
      </c>
      <c r="DG24" s="16">
        <f>SUMIFS(DG4:DG17,$G$4:$G$17,"x")</f>
        <v>0</v>
      </c>
      <c r="DH24" s="16">
        <f>SUMIFS(DH4:DH17,$G$4:$G$17,"x")</f>
        <v>0</v>
      </c>
      <c r="DI24" s="71">
        <f>SUM(DD24:DH24)/'Neighborhood Inputs'!$I$28</f>
        <v>5.8987824193693763</v>
      </c>
      <c r="DK24" s="21" t="s">
        <v>89</v>
      </c>
      <c r="DL24" s="16">
        <f>SUMIFS(DL4:DL17,$G$4:$G$17,"x")</f>
        <v>251312.67</v>
      </c>
      <c r="DM24" s="16">
        <f>SUMIFS(DM4:DM17,$G$4:$G$17,"x")</f>
        <v>0</v>
      </c>
      <c r="DN24" s="16">
        <f>SUMIFS(DN4:DN17,$G$4:$G$17,"x")</f>
        <v>0</v>
      </c>
      <c r="DO24" s="16">
        <f>SUMIFS(DO4:DO17,$G$4:$G$17,"x")</f>
        <v>0</v>
      </c>
      <c r="DP24" s="16">
        <f>SUMIFS(DP4:DP17,$G$4:$G$17,"x")</f>
        <v>0</v>
      </c>
      <c r="DQ24" s="71">
        <f>SUM(DL24:DP24)/'Neighborhood Inputs'!$I$28</f>
        <v>5.8987824193693763</v>
      </c>
      <c r="DS24" s="21" t="s">
        <v>89</v>
      </c>
      <c r="DT24" s="16">
        <f>SUMIFS(DT4:DT17,$G$4:$G$17,"x")</f>
        <v>398206.7</v>
      </c>
      <c r="DU24" s="16">
        <f>SUMIFS(DU4:DU17,$G$4:$G$17,"x")</f>
        <v>0</v>
      </c>
      <c r="DV24" s="16">
        <f>SUMIFS(DV4:DV17,$G$4:$G$17,"x")</f>
        <v>0</v>
      </c>
      <c r="DW24" s="16">
        <f>SUMIFS(DW4:DW17,$G$4:$G$17,"x")</f>
        <v>0</v>
      </c>
      <c r="DX24" s="16">
        <f>SUMIFS(DX4:DX17,$G$4:$G$17,"x")</f>
        <v>0</v>
      </c>
      <c r="DY24" s="71">
        <f>SUM(DT24:DX24)/'Neighborhood Inputs'!$J$28</f>
        <v>5.8988341777027227</v>
      </c>
      <c r="EA24" s="21" t="s">
        <v>89</v>
      </c>
      <c r="EB24" s="16">
        <f>SUMIFS(EB4:EB17,$G$4:$G$17,"x")</f>
        <v>398206.7</v>
      </c>
      <c r="EC24" s="16">
        <f>SUMIFS(EC4:EC17,$G$4:$G$17,"x")</f>
        <v>0</v>
      </c>
      <c r="ED24" s="16">
        <f>SUMIFS(ED4:ED17,$G$4:$G$17,"x")</f>
        <v>0</v>
      </c>
      <c r="EE24" s="16">
        <f>SUMIFS(EE4:EE17,$G$4:$G$17,"x")</f>
        <v>0</v>
      </c>
      <c r="EF24" s="16">
        <f>SUMIFS(EF4:EF17,$G$4:$G$17,"x")</f>
        <v>0</v>
      </c>
      <c r="EG24" s="71">
        <f>SUM(EB24:EF24)/'Neighborhood Inputs'!$J$28</f>
        <v>5.8988341777027227</v>
      </c>
      <c r="EI24" s="21" t="s">
        <v>89</v>
      </c>
      <c r="EJ24" s="16">
        <f>SUMIFS(EJ4:EJ17,$G$4:$G$17,"x")</f>
        <v>0</v>
      </c>
      <c r="EK24" s="16">
        <f>SUMIFS(EK4:EK17,$G$4:$G$17,"x")</f>
        <v>0</v>
      </c>
      <c r="EL24" s="16">
        <f>SUMIFS(EL4:EL17,$G$4:$G$17,"x")</f>
        <v>0</v>
      </c>
      <c r="EM24" s="16">
        <f>SUMIFS(EM4:EM17,$G$4:$G$17,"x")</f>
        <v>0</v>
      </c>
      <c r="EN24" s="16">
        <f>SUMIFS(EN4:EN17,$G$4:$G$17,"x")</f>
        <v>0</v>
      </c>
      <c r="EO24" s="71">
        <f>SUM(EJ24:EN24)/'Neighborhood Inputs'!$D$28</f>
        <v>0</v>
      </c>
    </row>
    <row r="25" spans="2:145" x14ac:dyDescent="0.3">
      <c r="B25" s="197" t="s">
        <v>90</v>
      </c>
      <c r="C25" s="202">
        <f t="shared" ca="1" si="0"/>
        <v>73.382691301927309</v>
      </c>
      <c r="D25" s="203">
        <f t="shared" ca="1" si="0"/>
        <v>15.690204301797026</v>
      </c>
      <c r="E25" s="207"/>
      <c r="F25" s="207"/>
      <c r="G25" s="202">
        <f t="shared" ca="1" si="1"/>
        <v>70.794524023349794</v>
      </c>
      <c r="H25" s="203">
        <f t="shared" ca="1" si="1"/>
        <v>14.396962281095645</v>
      </c>
      <c r="I25" s="202">
        <f t="shared" ca="1" si="1"/>
        <v>30.158019403649309</v>
      </c>
      <c r="J25" s="203">
        <f t="shared" ca="1" si="1"/>
        <v>10.644025990209169</v>
      </c>
      <c r="K25" s="202">
        <f t="shared" ca="1" si="1"/>
        <v>30.788740328665515</v>
      </c>
      <c r="L25" s="203">
        <f t="shared" ca="1" si="1"/>
        <v>10.866633775839444</v>
      </c>
      <c r="M25" s="202">
        <f t="shared" ca="1" si="1"/>
        <v>34.340988801189887</v>
      </c>
      <c r="N25" s="203">
        <f t="shared" ca="1" si="1"/>
        <v>12.119778658432857</v>
      </c>
      <c r="O25" s="202">
        <f t="shared" ca="1" si="1"/>
        <v>29.339525529901305</v>
      </c>
      <c r="P25" s="203">
        <f t="shared" ca="1" si="1"/>
        <v>10.355568104867803</v>
      </c>
      <c r="Q25" s="202">
        <f t="shared" ca="1" si="1"/>
        <v>35.709491897016562</v>
      </c>
      <c r="R25" s="203">
        <f t="shared" ca="1" si="1"/>
        <v>12.603372746786361</v>
      </c>
      <c r="S25" s="605"/>
      <c r="U25" s="608">
        <f>AB25+AC25+AR25+AS25+BH25+BI25+BX25+BY25+CN25+CO25+DD25+DE25+DT25+DU25</f>
        <v>24138552.039999999</v>
      </c>
      <c r="V25" s="609">
        <f>AJ25+AK25+AZ25+BA25+BP25+BQ25+CF25+CG25+CV25+CW25+DL25+DM25+EB25+EC25+EJ25</f>
        <v>6231869.2838722412</v>
      </c>
      <c r="X25" s="621"/>
      <c r="Y25" s="589"/>
      <c r="Z25" s="426"/>
      <c r="AA25" s="21" t="s">
        <v>90</v>
      </c>
      <c r="AB25" s="16">
        <f>SUMIFS(AB4:AB17,$H$4:$H$17,"x")</f>
        <v>0</v>
      </c>
      <c r="AC25" s="16">
        <f>SUMIFS(AC4:AC17,$H$4:$H$17,"x")</f>
        <v>16103569.630000001</v>
      </c>
      <c r="AD25" s="16">
        <f>SUMIFS(AD4:AD17,$H$4:$H$17,"x")</f>
        <v>0</v>
      </c>
      <c r="AE25" s="16">
        <f>SUMIFS(AE4:AE17,$H$4:$H$17,"x")</f>
        <v>0</v>
      </c>
      <c r="AF25" s="16">
        <f>SUMIFS(AF4:AF17,$H$4:$H$17,"x")</f>
        <v>0</v>
      </c>
      <c r="AG25" s="71">
        <f>SUM(AB25:AF25)/'Neighborhood Inputs'!$D$28</f>
        <v>73.382691301927309</v>
      </c>
      <c r="AH25" s="172"/>
      <c r="AI25" s="21" t="s">
        <v>90</v>
      </c>
      <c r="AJ25" s="16">
        <f>SUMIFS(AJ4:AJ17,$H$4:$H$17,"x")</f>
        <v>3443159.32</v>
      </c>
      <c r="AK25" s="16">
        <f>SUMIFS(AK4:AK17,$H$4:$H$17,"x")</f>
        <v>0</v>
      </c>
      <c r="AL25" s="16">
        <f>SUMIFS(AL4:AL17,$H$4:$H$17,"x")</f>
        <v>0</v>
      </c>
      <c r="AM25" s="16">
        <f>SUMIFS(AM4:AM17,$H$4:$H$17,"x")</f>
        <v>0</v>
      </c>
      <c r="AN25" s="16">
        <f>SUMIFS(AN4:AN17,$H$4:$H$17,"x")</f>
        <v>0</v>
      </c>
      <c r="AO25" s="71">
        <f>SUM(AJ25:AN25)/'Neighborhood Inputs'!$D$28</f>
        <v>15.690204301797026</v>
      </c>
      <c r="AP25" s="443">
        <f>AG25/AO25</f>
        <v>4.6769748749238822</v>
      </c>
      <c r="AQ25" s="21" t="s">
        <v>90</v>
      </c>
      <c r="AR25" s="16">
        <f>SUMIFS(AR4:AR17,$H$4:$H$17,"x")</f>
        <v>0</v>
      </c>
      <c r="AS25" s="16">
        <f>SUMIFS(AS4:AS17,$H$4:$H$17,"x")</f>
        <v>315318.81</v>
      </c>
      <c r="AT25" s="16">
        <f>SUMIFS(AT4:AT17,$H$4:$H$17,"x")</f>
        <v>0</v>
      </c>
      <c r="AU25" s="16">
        <f>SUMIFS(AU4:AU17,$H$4:$H$17,"x")</f>
        <v>0</v>
      </c>
      <c r="AV25" s="16">
        <f>SUMIFS(AV4:AV17,$H$4:$H$17,"x")</f>
        <v>0</v>
      </c>
      <c r="AW25" s="71">
        <f>SUM(AR25:AV25)/'Neighborhood Inputs'!$E$28</f>
        <v>70.794524023349794</v>
      </c>
      <c r="AY25" s="21" t="s">
        <v>90</v>
      </c>
      <c r="AZ25" s="16">
        <f>SUMIFS(AZ4:AZ17,$H$4:$H$17,"x")</f>
        <v>64124.07</v>
      </c>
      <c r="BA25" s="16">
        <f>SUMIFS(BA4:BA17,$H$4:$H$17,"x")</f>
        <v>0</v>
      </c>
      <c r="BB25" s="16">
        <f>SUMIFS(BB4:BB17,$H$4:$H$17,"x")</f>
        <v>0</v>
      </c>
      <c r="BC25" s="16">
        <f>SUMIFS(BC4:BC17,$H$4:$H$17,"x")</f>
        <v>0</v>
      </c>
      <c r="BD25" s="16">
        <f>SUMIFS(BD4:BD17,$H$4:$H$17,"x")</f>
        <v>0</v>
      </c>
      <c r="BE25" s="71">
        <f>SUM(AZ25:BD25)/'Neighborhood Inputs'!$E$28</f>
        <v>14.396962281095645</v>
      </c>
      <c r="BF25" s="443">
        <f>AW25/BE25</f>
        <v>4.9173237132327996</v>
      </c>
      <c r="BG25" s="21" t="s">
        <v>90</v>
      </c>
      <c r="BH25" s="16">
        <f>SUMIFS(BH4:BH17,$H$4:$H$17,"x")</f>
        <v>0</v>
      </c>
      <c r="BI25" s="16">
        <f>SUMIFS(BI4:BI17,$H$4:$H$17,"x")</f>
        <v>1694126.74</v>
      </c>
      <c r="BJ25" s="16">
        <f>SUMIFS(BJ4:BJ17,$H$4:$H$17,"x")</f>
        <v>0</v>
      </c>
      <c r="BK25" s="16">
        <f>SUMIFS(BK4:BK17,$H$4:$H$17,"x")</f>
        <v>0</v>
      </c>
      <c r="BL25" s="16">
        <f>SUMIFS(BL4:BL17,$H$4:$H$17,"x")</f>
        <v>0</v>
      </c>
      <c r="BM25" s="71">
        <f>SUM(BH25:BL25)/'Neighborhood Inputs'!$F$28</f>
        <v>30.158019403649309</v>
      </c>
      <c r="BN25" s="185"/>
      <c r="BO25" s="21" t="s">
        <v>90</v>
      </c>
      <c r="BP25" s="16">
        <f>SUMIFS(BP4:BP17,$H$4:$H$17,"x")</f>
        <v>597928.16</v>
      </c>
      <c r="BQ25" s="16">
        <f>SUMIFS(BQ4:BQ17,$H$4:$H$17,"x")</f>
        <v>0</v>
      </c>
      <c r="BR25" s="16">
        <f>SUMIFS(BR4:BR17,$H$4:$H$17,"x")</f>
        <v>0</v>
      </c>
      <c r="BS25" s="16">
        <f>SUMIFS(BS4:BS17,$H$4:$H$17,"x")</f>
        <v>0</v>
      </c>
      <c r="BT25" s="16">
        <f>SUMIFS(BT4:BT17,$H$4:$H$17,"x")</f>
        <v>0</v>
      </c>
      <c r="BU25" s="71">
        <f>SUM(BP25:BT25)/'Neighborhood Inputs'!$F$28</f>
        <v>10.644025990209169</v>
      </c>
      <c r="BV25" s="442">
        <f>BM25/BU25</f>
        <v>2.8333282379608944</v>
      </c>
      <c r="BW25" s="21" t="s">
        <v>90</v>
      </c>
      <c r="BX25" s="16">
        <f>SUMIFS(BX4:BX17,$H$4:$H$17,"x")</f>
        <v>0</v>
      </c>
      <c r="BY25" s="16">
        <f>SUMIFS(BY4:BY17,$H$4:$H$17,"x")</f>
        <v>963010.22</v>
      </c>
      <c r="BZ25" s="16">
        <f>SUMIFS(BZ4:BZ17,$H$4:$H$17,"x")</f>
        <v>0</v>
      </c>
      <c r="CA25" s="16">
        <f>SUMIFS(CA4:CA17,$H$4:$H$17,"x")</f>
        <v>0</v>
      </c>
      <c r="CB25" s="16">
        <f>SUMIFS(CB4:CB17,$H$4:$H$17,"x")</f>
        <v>0</v>
      </c>
      <c r="CC25" s="71">
        <f>SUM(BX25:CB25)/'Neighborhood Inputs'!$G$28</f>
        <v>30.788740328665515</v>
      </c>
      <c r="CE25" s="21" t="s">
        <v>90</v>
      </c>
      <c r="CF25" s="16">
        <f>SUMIFS(CF4:CF17,$H$4:$H$17,"x")</f>
        <v>339886.57124070614</v>
      </c>
      <c r="CG25" s="16">
        <f>SUMIFS(CG4:CG17,$H$4:$H$17,"x")</f>
        <v>0</v>
      </c>
      <c r="CH25" s="16">
        <f>SUMIFS(CH5:CH18,$G$4:$G$17,"x")</f>
        <v>0</v>
      </c>
      <c r="CI25" s="16">
        <f>SUMIFS(CI4:CI17,$H$4:$H$17,"x")</f>
        <v>0</v>
      </c>
      <c r="CJ25" s="16">
        <f>SUMIFS(CJ4:CJ17,$H$4:$H$17,"x")</f>
        <v>0</v>
      </c>
      <c r="CK25" s="71">
        <f>SUM(CF25:CJ25)/'Neighborhood Inputs'!$G$28</f>
        <v>10.866633775839444</v>
      </c>
      <c r="CM25" s="21" t="s">
        <v>90</v>
      </c>
      <c r="CN25" s="16">
        <f>SUMIFS(CN4:CN17,$H$4:$H$17,"x")</f>
        <v>68.489999999999995</v>
      </c>
      <c r="CO25" s="16">
        <f>SUMIFS(CO4:CO17,$H$4:$H$17,"x")</f>
        <v>1401867.35</v>
      </c>
      <c r="CP25" s="16">
        <f>SUMIFS(CP5:CP18,$G$4:$G$17,"x")</f>
        <v>0</v>
      </c>
      <c r="CQ25" s="16">
        <f>SUMIFS(CQ4:CQ17,$H$4:$H$17,"x")</f>
        <v>0</v>
      </c>
      <c r="CR25" s="16">
        <f>SUMIFS(CR4:CR17,$H$4:$H$17,"x")</f>
        <v>0</v>
      </c>
      <c r="CS25" s="71">
        <f>SUM(CN25:CR25)/'Neighborhood Inputs'!$H$28</f>
        <v>34.340988801189887</v>
      </c>
      <c r="CU25" s="21" t="s">
        <v>90</v>
      </c>
      <c r="CV25" s="16">
        <f>SUMIFS(CV4:CV17,$H$4:$H$17,"x")</f>
        <v>494777.60155628982</v>
      </c>
      <c r="CW25" s="16">
        <f>SUMIFS(CW4:CW17,$H$4:$H$17,"x")</f>
        <v>0</v>
      </c>
      <c r="CX25" s="16">
        <f>SUMIFS(CX5:CX18,$G$4:$G$17,"x")</f>
        <v>0</v>
      </c>
      <c r="CY25" s="16">
        <f>SUMIFS(CY4:CY17,$H$4:$H$17,"x")</f>
        <v>0</v>
      </c>
      <c r="CZ25" s="16">
        <f>SUMIFS(CZ4:CZ17,$H$4:$H$17,"x")</f>
        <v>0</v>
      </c>
      <c r="DA25" s="71">
        <f>SUM(CV25:CZ25)/'Neighborhood Inputs'!$H$28</f>
        <v>12.119778658432857</v>
      </c>
      <c r="DC25" s="21" t="s">
        <v>90</v>
      </c>
      <c r="DD25" s="16">
        <f>SUMIFS(DD4:DD17,$H$4:$H$17,"x")</f>
        <v>27.84</v>
      </c>
      <c r="DE25" s="16">
        <f>SUMIFS(DE4:DE17,$H$4:$H$17,"x")</f>
        <v>1249958</v>
      </c>
      <c r="DF25" s="16">
        <f>SUMIFS(DF5:DF18,$G$4:$G$17,"x")</f>
        <v>0</v>
      </c>
      <c r="DG25" s="16">
        <f>SUMIFS(DG4:DG17,$H$4:$H$17,"x")</f>
        <v>0</v>
      </c>
      <c r="DH25" s="16">
        <f>SUMIFS(DH4:DH17,$H$4:$H$17,"x")</f>
        <v>0</v>
      </c>
      <c r="DI25" s="71">
        <f>SUM(DD25:DH25)/'Neighborhood Inputs'!$I$28</f>
        <v>29.339525529901305</v>
      </c>
      <c r="DK25" s="21" t="s">
        <v>90</v>
      </c>
      <c r="DL25" s="16">
        <f>SUMIFS(DL4:DL17,$H$4:$H$17,"x")</f>
        <v>441190.28043068474</v>
      </c>
      <c r="DM25" s="16">
        <f>SUMIFS(DM4:DM17,$H$4:$H$17,"x")</f>
        <v>0</v>
      </c>
      <c r="DN25" s="16">
        <f>SUMIFS(DN5:DN18,$G$4:$G$17,"x")</f>
        <v>0</v>
      </c>
      <c r="DO25" s="16">
        <f>SUMIFS(DO4:DO17,$H$4:$H$17,"x")</f>
        <v>0</v>
      </c>
      <c r="DP25" s="16">
        <f>SUMIFS(DP4:DP17,$H$4:$H$17,"x")</f>
        <v>0</v>
      </c>
      <c r="DQ25" s="71">
        <f>SUM(DL25:DP25)/'Neighborhood Inputs'!$I$28</f>
        <v>10.355568104867803</v>
      </c>
      <c r="DS25" s="21" t="s">
        <v>90</v>
      </c>
      <c r="DT25" s="16">
        <f>SUMIFS(DT4:DT17,$H$4:$H$17,"x")</f>
        <v>0</v>
      </c>
      <c r="DU25" s="16">
        <f>SUMIFS(DU4:DU17,$H$4:$H$17,"x")</f>
        <v>2410604.96</v>
      </c>
      <c r="DV25" s="16">
        <f>SUMIFS(DV5:DV18,$G$4:$G$17,"x")</f>
        <v>0</v>
      </c>
      <c r="DW25" s="16">
        <f>SUMIFS(DW4:DW17,$H$4:$H$17,"x")</f>
        <v>0</v>
      </c>
      <c r="DX25" s="16">
        <f>SUMIFS(DX4:DX17,$H$4:$H$17,"x")</f>
        <v>0</v>
      </c>
      <c r="DY25" s="71">
        <f>SUM(DT25:DX25)/'Neighborhood Inputs'!$J$28</f>
        <v>35.709491897016562</v>
      </c>
      <c r="EA25" s="21" t="s">
        <v>90</v>
      </c>
      <c r="EB25" s="16">
        <f>SUMIFS(EB4:EB17,$H$4:$H$17,"x")</f>
        <v>850803.28064456012</v>
      </c>
      <c r="EC25" s="16">
        <f>SUMIFS(EC4:EC17,$H$4:$H$17,"x")</f>
        <v>0</v>
      </c>
      <c r="ED25" s="16">
        <f>SUMIFS(ED5:ED18,$G$4:$G$17,"x")</f>
        <v>0</v>
      </c>
      <c r="EE25" s="16">
        <f>SUMIFS(EE4:EE17,$H$4:$H$17,"x")</f>
        <v>0</v>
      </c>
      <c r="EF25" s="16">
        <f>SUMIFS(EF4:EF17,$H$4:$H$17,"x")</f>
        <v>0</v>
      </c>
      <c r="EG25" s="71">
        <f>SUM(EB25:EF25)/'Neighborhood Inputs'!$J$28</f>
        <v>12.603372746786361</v>
      </c>
      <c r="EI25" s="21" t="s">
        <v>90</v>
      </c>
      <c r="EJ25" s="16">
        <f>SUMIFS(EJ4:EJ17,$H$4:$H$17,"x")</f>
        <v>0</v>
      </c>
      <c r="EK25" s="16">
        <f>SUMIFS(EK4:EK17,$H$4:$H$17,"x")</f>
        <v>0</v>
      </c>
      <c r="EL25" s="16">
        <f>SUMIFS(EL5:EL18,$G$4:$G$17,"x")</f>
        <v>0</v>
      </c>
      <c r="EM25" s="16">
        <f>SUMIFS(EM4:EM17,$H$4:$H$17,"x")</f>
        <v>0</v>
      </c>
      <c r="EN25" s="16">
        <f>SUMIFS(EN4:EN17,$H$4:$H$17,"x")</f>
        <v>0</v>
      </c>
      <c r="EO25" s="71">
        <f>SUM(EJ25:EN25)/'Neighborhood Inputs'!$D$28</f>
        <v>0</v>
      </c>
    </row>
    <row r="26" spans="2:145" x14ac:dyDescent="0.3">
      <c r="B26" s="197" t="s">
        <v>91</v>
      </c>
      <c r="C26" s="202">
        <f t="shared" ca="1" si="0"/>
        <v>7.4160544785349209</v>
      </c>
      <c r="D26" s="203">
        <f t="shared" ca="1" si="0"/>
        <v>5.0876736067203288</v>
      </c>
      <c r="E26" s="207"/>
      <c r="F26" s="207"/>
      <c r="G26" s="202">
        <f t="shared" ca="1" si="1"/>
        <v>9.8665559048046703</v>
      </c>
      <c r="H26" s="203">
        <f t="shared" ca="1" si="1"/>
        <v>8.5774427480916025</v>
      </c>
      <c r="I26" s="202">
        <f t="shared" ca="1" si="1"/>
        <v>5.0780970182465506</v>
      </c>
      <c r="J26" s="203">
        <f t="shared" ca="1" si="1"/>
        <v>4.2468735202492214</v>
      </c>
      <c r="K26" s="202">
        <f t="shared" ca="1" si="1"/>
        <v>4.1893576955048273</v>
      </c>
      <c r="L26" s="203">
        <f t="shared" ca="1" si="1"/>
        <v>3.5036101515908329</v>
      </c>
      <c r="M26" s="202">
        <f t="shared" ca="1" si="1"/>
        <v>6.2767003609153242</v>
      </c>
      <c r="N26" s="203">
        <f t="shared" ca="1" si="1"/>
        <v>5.249279889992013</v>
      </c>
      <c r="O26" s="202">
        <f t="shared" ca="1" si="1"/>
        <v>2.4440909056768163</v>
      </c>
      <c r="P26" s="203">
        <f t="shared" ca="1" si="1"/>
        <v>2.0440225759973565</v>
      </c>
      <c r="Q26" s="202">
        <f t="shared" ca="1" si="1"/>
        <v>0</v>
      </c>
      <c r="R26" s="203">
        <f t="shared" ca="1" si="1"/>
        <v>0</v>
      </c>
      <c r="S26" s="605"/>
      <c r="U26" s="608">
        <f>AB26+AC26+AR26+AS26+BH26+BI26+BX26+BY26+CN26+CO26+DD26+DE26+DT26+DU26</f>
        <v>2448037.48</v>
      </c>
      <c r="V26" s="609">
        <f>AJ26+AK26+AZ26+BA26+BP26+BQ26+CF26+CG26+CV26+CW26+DL26+DM26+EB26+EC26+EJ26</f>
        <v>1804210.1404362977</v>
      </c>
      <c r="X26" s="621"/>
      <c r="Y26" s="589"/>
      <c r="Z26" s="426"/>
      <c r="AA26" s="21" t="s">
        <v>91</v>
      </c>
      <c r="AB26" s="16">
        <f>SUMIFS(AB4:AB17,$I$4:$I$17,"x")</f>
        <v>1627426.68</v>
      </c>
      <c r="AC26" s="16">
        <f>SUMIFS(AC4:AC17,$I$4:$I$17,"x")</f>
        <v>0</v>
      </c>
      <c r="AD26" s="16">
        <f>SUMIFS(AD4:AD17,$I$4:$I$17,"x")</f>
        <v>0</v>
      </c>
      <c r="AE26" s="16">
        <f>SUMIFS(AE4:AE17,$I$4:$I$17,"x")</f>
        <v>0</v>
      </c>
      <c r="AF26" s="16">
        <f>SUMIFS(AF4:AF17,$I$4:$I$17,"x")</f>
        <v>0</v>
      </c>
      <c r="AG26" s="71">
        <f>SUM(AB26:AF26)/'Neighborhood Inputs'!$D$28</f>
        <v>7.4160544785349209</v>
      </c>
      <c r="AH26" s="172"/>
      <c r="AI26" s="21" t="s">
        <v>91</v>
      </c>
      <c r="AJ26" s="16">
        <f>SUMIFS(AJ4:AJ17,$I$4:$I$17,"x")</f>
        <v>1116471.81</v>
      </c>
      <c r="AK26" s="16">
        <f>SUMIFS(AK4:AK17,$I$4:$I$17,"x")</f>
        <v>0</v>
      </c>
      <c r="AL26" s="16">
        <f>SUMIFS(AL4:AL17,$I$4:$I$17,"x")</f>
        <v>0</v>
      </c>
      <c r="AM26" s="16">
        <f>SUMIFS(AM4:AM17,$I$4:$I$17,"x")</f>
        <v>0</v>
      </c>
      <c r="AN26" s="16">
        <f>SUMIFS(AN4:AN17,$I$4:$I$17,"x")</f>
        <v>0</v>
      </c>
      <c r="AO26" s="71">
        <f>SUM(AJ26:AN26)/'Neighborhood Inputs'!$D$28</f>
        <v>5.0876736067203288</v>
      </c>
      <c r="AP26" s="443">
        <f>AG26/AO26</f>
        <v>1.4576513848567298</v>
      </c>
      <c r="AQ26" s="21" t="s">
        <v>91</v>
      </c>
      <c r="AR26" s="16">
        <f>SUMIFS(AR4:AR17,$I$4:$I$17,"x")</f>
        <v>43945.64</v>
      </c>
      <c r="AS26" s="16">
        <f>SUMIFS(AS4:AS17,$I$4:$I$17,"x")</f>
        <v>0</v>
      </c>
      <c r="AT26" s="16">
        <f>SUMIFS(AT4:AT17,$I$4:$I$17,"x")</f>
        <v>0</v>
      </c>
      <c r="AU26" s="16">
        <f>SUMIFS(AU4:AU17,$I$4:$I$17,"x")</f>
        <v>0</v>
      </c>
      <c r="AV26" s="16">
        <f>SUMIFS(AV4:AV17,$I$4:$I$17,"x")</f>
        <v>0</v>
      </c>
      <c r="AW26" s="71">
        <f>SUM(AR26:AV26)/'Neighborhood Inputs'!$E$28</f>
        <v>9.8665559048046703</v>
      </c>
      <c r="AX26" s="185"/>
      <c r="AY26" s="21" t="s">
        <v>91</v>
      </c>
      <c r="AZ26" s="16">
        <f>SUMIFS(AZ4:AZ17,$I$4:$I$17,"x")</f>
        <v>38203.93</v>
      </c>
      <c r="BA26" s="16">
        <f>SUMIFS(BA4:BA17,$I$4:$I$17,"x")</f>
        <v>0</v>
      </c>
      <c r="BB26" s="16">
        <f>SUMIFS(BB4:BB17,$I$4:$I$17,"x")</f>
        <v>0</v>
      </c>
      <c r="BC26" s="16">
        <f>SUMIFS(BC4:BC17,$I$4:$I$17,"x")</f>
        <v>0</v>
      </c>
      <c r="BD26" s="16">
        <f>SUMIFS(BD4:BD17,$I$4:$I$17,"x")</f>
        <v>0</v>
      </c>
      <c r="BE26" s="71">
        <f>SUM(AZ26:BD26)/'Neighborhood Inputs'!$E$28</f>
        <v>8.5774427480916025</v>
      </c>
      <c r="BF26" s="443">
        <f>AW26/BE26</f>
        <v>1.1502910826189872</v>
      </c>
      <c r="BG26" s="21" t="s">
        <v>91</v>
      </c>
      <c r="BH26" s="16">
        <f>SUMIFS(BH4:BH17,$I$4:$I$17,"x")</f>
        <v>285262.09999999998</v>
      </c>
      <c r="BI26" s="16">
        <f>SUMIFS(BI4:BI17,$I$4:$I$17,"x")</f>
        <v>0</v>
      </c>
      <c r="BJ26" s="16">
        <f>SUMIFS(BJ4:BJ17,$I$4:$I$17,"x")</f>
        <v>0</v>
      </c>
      <c r="BK26" s="16">
        <f>SUMIFS(BK4:BK17,$I$4:$I$17,"x")</f>
        <v>0</v>
      </c>
      <c r="BL26" s="16">
        <f>SUMIFS(BL4:BL17,$I$4:$I$17,"x")</f>
        <v>0</v>
      </c>
      <c r="BM26" s="71">
        <f>SUM(BH26:BL26)/'Neighborhood Inputs'!$F$28</f>
        <v>5.0780970182465506</v>
      </c>
      <c r="BN26" s="185"/>
      <c r="BO26" s="21" t="s">
        <v>91</v>
      </c>
      <c r="BP26" s="16">
        <f>SUMIFS(BP4:BP17,$I$4:$I$17,"x")</f>
        <v>238568.12</v>
      </c>
      <c r="BQ26" s="16">
        <f>SUMIFS(BQ4:BQ17,$I$4:$I$17,"x")</f>
        <v>0</v>
      </c>
      <c r="BR26" s="16">
        <f>SUMIFS(BR4:BR17,$I$4:$I$17,"x")</f>
        <v>0</v>
      </c>
      <c r="BS26" s="16">
        <f>SUMIFS(BS4:BS17,$I$4:$I$17,"x")</f>
        <v>0</v>
      </c>
      <c r="BT26" s="16">
        <f>SUMIFS(BT4:BT17,$I$4:$I$17,"x")</f>
        <v>0</v>
      </c>
      <c r="BU26" s="71">
        <f>SUM(BP26:BT26)/'Neighborhood Inputs'!$F$28</f>
        <v>4.2468735202492214</v>
      </c>
      <c r="BV26" s="442">
        <f>BM26/BU26</f>
        <v>1.19572598384059</v>
      </c>
      <c r="BW26" s="21" t="s">
        <v>91</v>
      </c>
      <c r="BX26" s="16">
        <f>SUMIFS(BX4:BX17,$I$4:$I$17,"x")</f>
        <v>131034.73</v>
      </c>
      <c r="BY26" s="16">
        <f>SUMIFS(BY4:BY17,$I$4:$I$17,"x")</f>
        <v>0</v>
      </c>
      <c r="BZ26" s="16">
        <f>SUMIFS(BZ4:BZ17,$I$4:$I$17,"x")</f>
        <v>0</v>
      </c>
      <c r="CA26" s="16">
        <f>SUMIFS(CA4:CA17,$I$4:$I$17,"x")</f>
        <v>0</v>
      </c>
      <c r="CB26" s="16">
        <f>SUMIFS(CB4:CB17,$I$4:$I$17,"x")</f>
        <v>0</v>
      </c>
      <c r="CC26" s="71">
        <f>SUM(BX26:CB26)/'Neighborhood Inputs'!$G$28</f>
        <v>4.1893576955048273</v>
      </c>
      <c r="CE26" s="21" t="s">
        <v>91</v>
      </c>
      <c r="CF26" s="16">
        <f>SUMIFS(CF4:CF17,$I$4:$I$17,"x")</f>
        <v>109585.91832145807</v>
      </c>
      <c r="CG26" s="16">
        <f>SUMIFS(CG4:CG17,$I$4:$I$17,"x")</f>
        <v>0</v>
      </c>
      <c r="CH26" s="16">
        <f>SUMIFS(CH4:CH17,$I$4:$I$17,"x")</f>
        <v>0</v>
      </c>
      <c r="CI26" s="16">
        <f>SUMIFS(CI4:CI17,$I$4:$I$17,"x")</f>
        <v>0</v>
      </c>
      <c r="CJ26" s="16">
        <f>SUMIFS(CJ4:CJ17,$I$4:$I$17,"x")</f>
        <v>0</v>
      </c>
      <c r="CK26" s="71">
        <f>SUM(CF26:CJ26)/'Neighborhood Inputs'!$G$28</f>
        <v>3.5036101515908329</v>
      </c>
      <c r="CM26" s="21" t="s">
        <v>91</v>
      </c>
      <c r="CN26" s="16">
        <f>SUMIFS(CN4:CN17,$I$4:$I$17,"x")</f>
        <v>256239.89</v>
      </c>
      <c r="CO26" s="16">
        <f>SUMIFS(CO4:CO17,$I$4:$I$17,"x")</f>
        <v>0</v>
      </c>
      <c r="CP26" s="16">
        <f>SUMIFS(CP4:CP17,$I$4:$I$17,"x")</f>
        <v>0</v>
      </c>
      <c r="CQ26" s="16">
        <f>SUMIFS(CQ4:CQ17,$I$4:$I$17,"x")</f>
        <v>0</v>
      </c>
      <c r="CR26" s="16">
        <f>SUMIFS(CR4:CR17,$I$4:$I$17,"x")</f>
        <v>0</v>
      </c>
      <c r="CS26" s="71">
        <f>SUM(CN26:CR26)/'Neighborhood Inputs'!$H$28</f>
        <v>6.2767003609153242</v>
      </c>
      <c r="CU26" s="21" t="s">
        <v>91</v>
      </c>
      <c r="CV26" s="16">
        <f>SUMIFS(CV4:CV17,$I$4:$I$17,"x")</f>
        <v>214296.49724343617</v>
      </c>
      <c r="CW26" s="16">
        <f>SUMIFS(CW4:CW17,$I$4:$I$17,"x")</f>
        <v>0</v>
      </c>
      <c r="CX26" s="16">
        <f>SUMIFS(CX4:CX17,$I$4:$I$17,"x")</f>
        <v>0</v>
      </c>
      <c r="CY26" s="16">
        <f>SUMIFS(CY4:CY17,$I$4:$I$17,"x")</f>
        <v>0</v>
      </c>
      <c r="CZ26" s="16">
        <f>SUMIFS(CZ4:CZ17,$I$4:$I$17,"x")</f>
        <v>0</v>
      </c>
      <c r="DA26" s="71">
        <f>SUM(CV26:CZ26)/'Neighborhood Inputs'!$H$28</f>
        <v>5.249279889992013</v>
      </c>
      <c r="DC26" s="21" t="s">
        <v>91</v>
      </c>
      <c r="DD26" s="16">
        <f>SUMIFS(DD4:DD17,$I$4:$I$17,"x")</f>
        <v>104128.44</v>
      </c>
      <c r="DE26" s="16">
        <f>SUMIFS(DE4:DE17,$I$4:$I$17,"x")</f>
        <v>0</v>
      </c>
      <c r="DF26" s="16">
        <f>SUMIFS(DF4:DF17,$I$4:$I$17,"x")</f>
        <v>0</v>
      </c>
      <c r="DG26" s="16">
        <f>SUMIFS(DG4:DG17,$I$4:$I$17,"x")</f>
        <v>0</v>
      </c>
      <c r="DH26" s="16">
        <f>SUMIFS(DH4:DH17,$I$4:$I$17,"x")</f>
        <v>0</v>
      </c>
      <c r="DI26" s="71">
        <f>SUM(DD26:DH26)/'Neighborhood Inputs'!$I$28</f>
        <v>2.4440909056768163</v>
      </c>
      <c r="DK26" s="21" t="s">
        <v>91</v>
      </c>
      <c r="DL26" s="16">
        <f>SUMIFS(DL4:DL17,$I$4:$I$17,"x")</f>
        <v>87083.864871403552</v>
      </c>
      <c r="DM26" s="16">
        <f>SUMIFS(DM4:DM17,$I$4:$I$17,"x")</f>
        <v>0</v>
      </c>
      <c r="DN26" s="16">
        <f>SUMIFS(DN4:DN17,$I$4:$I$17,"x")</f>
        <v>0</v>
      </c>
      <c r="DO26" s="16">
        <f>SUMIFS(DO4:DO17,$I$4:$I$17,"x")</f>
        <v>0</v>
      </c>
      <c r="DP26" s="16">
        <f>SUMIFS(DP4:DP17,$I$4:$I$17,"x")</f>
        <v>0</v>
      </c>
      <c r="DQ26" s="71">
        <f>SUM(DL26:DP26)/'Neighborhood Inputs'!$I$28</f>
        <v>2.0440225759973565</v>
      </c>
      <c r="DS26" s="21" t="s">
        <v>91</v>
      </c>
      <c r="DT26" s="16">
        <f>SUMIFS(DT4:DT17,$I$4:$I$17,"x")</f>
        <v>0</v>
      </c>
      <c r="DU26" s="16">
        <f>SUMIFS(DU4:DU17,$I$4:$I$17,"x")</f>
        <v>0</v>
      </c>
      <c r="DV26" s="16">
        <f>SUMIFS(DV4:DV17,$I$4:$I$17,"x")</f>
        <v>0</v>
      </c>
      <c r="DW26" s="16">
        <f>SUMIFS(DW4:DW17,$I$4:$I$17,"x")</f>
        <v>0</v>
      </c>
      <c r="DX26" s="16">
        <f>SUMIFS(DX4:DX17,$I$4:$I$17,"x")</f>
        <v>0</v>
      </c>
      <c r="DY26" s="71">
        <f>SUM(DT26:DX26)/'Neighborhood Inputs'!$J$28</f>
        <v>0</v>
      </c>
      <c r="EA26" s="21" t="s">
        <v>91</v>
      </c>
      <c r="EB26" s="16">
        <f>SUMIFS(EB4:EB17,$I$4:$I$17,"x")</f>
        <v>0</v>
      </c>
      <c r="EC26" s="16">
        <f>SUMIFS(EC4:EC17,$I$4:$I$17,"x")</f>
        <v>0</v>
      </c>
      <c r="ED26" s="16">
        <f>SUMIFS(ED4:ED17,$I$4:$I$17,"x")</f>
        <v>0</v>
      </c>
      <c r="EE26" s="16">
        <f>SUMIFS(EE4:EE17,$I$4:$I$17,"x")</f>
        <v>0</v>
      </c>
      <c r="EF26" s="16">
        <f>SUMIFS(EF4:EF17,$I$4:$I$17,"x")</f>
        <v>0</v>
      </c>
      <c r="EG26" s="71">
        <f>SUM(EB26:EF26)/'Neighborhood Inputs'!$J$28</f>
        <v>0</v>
      </c>
      <c r="EI26" s="21" t="s">
        <v>91</v>
      </c>
      <c r="EJ26" s="16">
        <f>SUMIFS(EJ4:EJ17,$I$4:$I$17,"x")</f>
        <v>0</v>
      </c>
      <c r="EK26" s="16">
        <f>SUMIFS(EK4:EK17,$I$4:$I$17,"x")</f>
        <v>0</v>
      </c>
      <c r="EL26" s="16">
        <f>SUMIFS(EL4:EL17,$I$4:$I$17,"x")</f>
        <v>0</v>
      </c>
      <c r="EM26" s="16">
        <f>SUMIFS(EM4:EM17,$I$4:$I$17,"x")</f>
        <v>0</v>
      </c>
      <c r="EN26" s="16">
        <f>SUMIFS(EN4:EN17,$I$4:$I$17,"x")</f>
        <v>0</v>
      </c>
      <c r="EO26" s="71">
        <f>SUM(EJ26:EN26)/'Neighborhood Inputs'!$D$28</f>
        <v>0</v>
      </c>
    </row>
    <row r="27" spans="2:145" ht="12.9" thickBot="1" x14ac:dyDescent="0.35">
      <c r="B27" s="197" t="s">
        <v>103</v>
      </c>
      <c r="C27" s="202">
        <f t="shared" ca="1" si="0"/>
        <v>1.0374741571325631E-3</v>
      </c>
      <c r="D27" s="471">
        <f t="shared" ca="1" si="0"/>
        <v>0.41499017550661454</v>
      </c>
      <c r="E27" s="549"/>
      <c r="F27" s="549"/>
      <c r="G27" s="472">
        <f t="shared" ca="1" si="1"/>
        <v>3.5024696901661431E-4</v>
      </c>
      <c r="H27" s="471">
        <f t="shared" ca="1" si="1"/>
        <v>4.0504602604400537</v>
      </c>
      <c r="I27" s="472">
        <f t="shared" ca="1" si="1"/>
        <v>5.4668446817979525E-4</v>
      </c>
      <c r="J27" s="471">
        <f t="shared" ca="1" si="1"/>
        <v>3.1223860703159771</v>
      </c>
      <c r="K27" s="472">
        <f t="shared" ca="1" si="1"/>
        <v>7.4333397276040672E-4</v>
      </c>
      <c r="L27" s="471">
        <f t="shared" ca="1" si="1"/>
        <v>3.1223860703159771</v>
      </c>
      <c r="M27" s="472">
        <f t="shared" ca="1" si="1"/>
        <v>7.0948496447431134E-3</v>
      </c>
      <c r="N27" s="471">
        <f t="shared" ca="1" si="1"/>
        <v>3.1223860703159771</v>
      </c>
      <c r="O27" s="472">
        <f t="shared" ca="1" si="1"/>
        <v>4.7431987862218148E-3</v>
      </c>
      <c r="P27" s="471">
        <f t="shared" ca="1" si="1"/>
        <v>3.1223860703159771</v>
      </c>
      <c r="Q27" s="472">
        <f t="shared" ca="1" si="1"/>
        <v>5.9950226646520311E-4</v>
      </c>
      <c r="R27" s="471">
        <f t="shared" ca="1" si="1"/>
        <v>3.1223860703159771</v>
      </c>
      <c r="S27" s="605">
        <f ca="1">OFFSET($AA27,0,(6+8*S$22))</f>
        <v>3.3000489572785487</v>
      </c>
      <c r="U27" s="611">
        <f>SUM(U25:U26)</f>
        <v>26586589.52</v>
      </c>
      <c r="V27" s="612">
        <f>SUM(V25:V26)</f>
        <v>8036079.4243085384</v>
      </c>
      <c r="X27" s="470"/>
      <c r="Y27" s="588"/>
      <c r="AA27" s="21" t="s">
        <v>103</v>
      </c>
      <c r="AB27" s="16">
        <f>SUMIFS(AB4:AB17,$J$4:$J$17,"x")</f>
        <v>227.67</v>
      </c>
      <c r="AC27" s="16">
        <f>SUMIFS(AC4:AC17,$J$4:$J$17,"x")</f>
        <v>0</v>
      </c>
      <c r="AD27" s="16">
        <f>SUMIFS(AD4:AD17,$J$4:$J$17,"x")</f>
        <v>0</v>
      </c>
      <c r="AE27" s="16">
        <f>SUMIFS(AE4:AE17,$J$4:$J$17,"x")</f>
        <v>0</v>
      </c>
      <c r="AF27" s="16">
        <f>SUMIFS(AF4:AF17,$J$4:$J$17,"x")</f>
        <v>0</v>
      </c>
      <c r="AG27" s="71">
        <f>SUM(AB27:AF27)/'Neighborhood Inputs'!$D$28</f>
        <v>1.0374741571325631E-3</v>
      </c>
      <c r="AI27" s="21" t="s">
        <v>103</v>
      </c>
      <c r="AJ27" s="16">
        <f>SUMIFS(AJ4:AJ17,$J$4:$J$17,"x")</f>
        <v>91068.112500000003</v>
      </c>
      <c r="AK27" s="16">
        <f>SUMIFS(AK4:AK17,$J$4:$J$17,"x")</f>
        <v>0</v>
      </c>
      <c r="AL27" s="16">
        <f>SUMIFS(AL4:AL17,$J$4:$J$17,"x")</f>
        <v>0</v>
      </c>
      <c r="AM27" s="16">
        <f>SUMIFS(AM4:AM17,$J$4:$J$17,"x")</f>
        <v>0</v>
      </c>
      <c r="AN27" s="16">
        <f>SUMIFS(AN4:AN17,$J$4:$J$17,"x")</f>
        <v>0</v>
      </c>
      <c r="AO27" s="71">
        <f>SUM(AJ27:AN27)/'Neighborhood Inputs'!$D$28</f>
        <v>0.41499017550661454</v>
      </c>
      <c r="AP27" s="178"/>
      <c r="AQ27" s="21" t="s">
        <v>103</v>
      </c>
      <c r="AR27" s="16">
        <f>SUMIFS(AR4:AR17,$J$4:$J$17,"x")</f>
        <v>1.56</v>
      </c>
      <c r="AS27" s="16">
        <f>SUMIFS(AS4:AS17,$J$4:$J$17,"x")</f>
        <v>0</v>
      </c>
      <c r="AT27" s="16">
        <f>SUMIFS(AT4:AT17,$J$4:$J$17,"x")</f>
        <v>0</v>
      </c>
      <c r="AU27" s="16">
        <f>SUMIFS(AU4:AU17,$J$4:$J$17,"x")</f>
        <v>0</v>
      </c>
      <c r="AV27" s="16">
        <f>SUMIFS(AV4:AV17,$J$4:$J$17,"x")</f>
        <v>0</v>
      </c>
      <c r="AW27" s="71">
        <f>SUM(AR27:AV27)/'Neighborhood Inputs'!$E$28</f>
        <v>3.5024696901661431E-4</v>
      </c>
      <c r="AY27" s="21" t="s">
        <v>103</v>
      </c>
      <c r="AZ27" s="16">
        <f>SUMIFS(AZ4:AZ17,$J$4:$J$17,"x")</f>
        <v>18040.75</v>
      </c>
      <c r="BA27" s="16">
        <f>SUMIFS(BA4:BA17,$J$4:$J$17,"x")</f>
        <v>0</v>
      </c>
      <c r="BB27" s="16">
        <f>SUMIFS(BB4:BB17,$J$4:$J$17,"x")</f>
        <v>0</v>
      </c>
      <c r="BC27" s="16">
        <f>SUMIFS(BC4:BC17,$J$4:$J$17,"x")</f>
        <v>0</v>
      </c>
      <c r="BD27" s="16">
        <f>SUMIFS(BD4:BD17,$J$4:$J$17,"x")</f>
        <v>0</v>
      </c>
      <c r="BE27" s="71">
        <f>SUM(AZ27:BD27)/'Neighborhood Inputs'!$E$28</f>
        <v>4.0504602604400537</v>
      </c>
      <c r="BF27" s="445"/>
      <c r="BG27" s="21" t="s">
        <v>103</v>
      </c>
      <c r="BH27" s="16">
        <f>SUMIFS(BH4:BH17,$J$4:$J$17,"x")</f>
        <v>30.71</v>
      </c>
      <c r="BI27" s="16">
        <f>SUMIFS(BI4:BI17,$J$4:$J$17,"x")</f>
        <v>0</v>
      </c>
      <c r="BJ27" s="16">
        <f>SUMIFS(BJ4:BJ17,$J$4:$J$17,"x")</f>
        <v>0</v>
      </c>
      <c r="BK27" s="16">
        <f>SUMIFS(BK4:BK17,$J$4:$J$17,"x")</f>
        <v>0</v>
      </c>
      <c r="BL27" s="16">
        <f>SUMIFS(BL4:BL17,$J$4:$J$17,"x")</f>
        <v>0</v>
      </c>
      <c r="BM27" s="71">
        <f>SUM(BH27:BL27)/'Neighborhood Inputs'!$F$28</f>
        <v>5.4668446817979525E-4</v>
      </c>
      <c r="BO27" s="21" t="s">
        <v>103</v>
      </c>
      <c r="BP27" s="16">
        <f>SUMIFS(BP4:BP17,$J$4:$J$17,"x")</f>
        <v>175400.03750000001</v>
      </c>
      <c r="BQ27" s="16">
        <f>SUMIFS(BQ4:BQ17,$J$4:$J$17,"x")</f>
        <v>0</v>
      </c>
      <c r="BR27" s="16">
        <f>SUMIFS(BR4:BR17,$J$4:$J$17,"x")</f>
        <v>0</v>
      </c>
      <c r="BS27" s="16">
        <f>SUMIFS(BS4:BS17,$J$4:$J$17,"x")</f>
        <v>0</v>
      </c>
      <c r="BT27" s="16">
        <f>SUMIFS(BT4:BT17,$J$4:$J$17,"x")</f>
        <v>0</v>
      </c>
      <c r="BU27" s="71">
        <f>SUM(BP27:BT27)/'Neighborhood Inputs'!$F$28</f>
        <v>3.1223860703159771</v>
      </c>
      <c r="BV27" s="442"/>
      <c r="BW27" s="21" t="s">
        <v>103</v>
      </c>
      <c r="BX27" s="16">
        <f>SUMIFS(BX4:BX17,$J$4:$J$17,"x")</f>
        <v>23.25</v>
      </c>
      <c r="BY27" s="16">
        <f>SUMIFS(BY4:BY17,$J$4:$J$17,"x")</f>
        <v>0</v>
      </c>
      <c r="BZ27" s="16">
        <f>SUMIFS(BZ4:BZ17,$J$4:$J$17,"x")</f>
        <v>0</v>
      </c>
      <c r="CA27" s="16">
        <f>SUMIFS(CA4:CA17,$J$4:$J$17,"x")</f>
        <v>0</v>
      </c>
      <c r="CB27" s="16">
        <f>SUMIFS(CB4:CB17,$J$4:$J$17,"x")</f>
        <v>0</v>
      </c>
      <c r="CC27" s="71">
        <f>SUM(BX27:CB27)/'Neighborhood Inputs'!$G$28</f>
        <v>7.4333397276040672E-4</v>
      </c>
      <c r="CE27" s="21" t="s">
        <v>103</v>
      </c>
      <c r="CF27" s="16">
        <f>SUMIFS(CF4:CF17,$J$4:$J$17,"x")</f>
        <v>97661.991507343133</v>
      </c>
      <c r="CG27" s="16">
        <f>SUMIFS(CG4:CG17,$J$4:$J$17,"x")</f>
        <v>0</v>
      </c>
      <c r="CH27" s="16">
        <f>SUMIFS(CH4:CH17,$J$4:$J$17,"x")</f>
        <v>0</v>
      </c>
      <c r="CI27" s="16">
        <f>SUMIFS(CI4:CI17,$J$4:$J$17,"x")</f>
        <v>0</v>
      </c>
      <c r="CJ27" s="16">
        <f>SUMIFS(CJ4:CJ17,$J$4:$J$17,"x")</f>
        <v>0</v>
      </c>
      <c r="CK27" s="71">
        <f>SUM(CF27:CJ27)/'Neighborhood Inputs'!$G$28</f>
        <v>3.1223860703159771</v>
      </c>
      <c r="CL27" s="172"/>
      <c r="CM27" s="21" t="s">
        <v>103</v>
      </c>
      <c r="CN27" s="16">
        <f>SUMIFS(CN4:CN17,$J$4:$J$17,"x")</f>
        <v>289.64</v>
      </c>
      <c r="CO27" s="16">
        <f>SUMIFS(CO4:CO17,$J$4:$J$17,"x")</f>
        <v>0</v>
      </c>
      <c r="CP27" s="16">
        <f>SUMIFS(CP4:CP17,$J$4:$J$17,"x")</f>
        <v>0</v>
      </c>
      <c r="CQ27" s="16">
        <f>SUMIFS(CQ4:CQ17,$J$4:$J$17,"x")</f>
        <v>0</v>
      </c>
      <c r="CR27" s="16">
        <f>SUMIFS(CR4:CR17,$J$4:$J$17,"x")</f>
        <v>0</v>
      </c>
      <c r="CS27" s="71">
        <f>SUM(CN27:CR27)/'Neighborhood Inputs'!$H$28</f>
        <v>7.0948496447431134E-3</v>
      </c>
      <c r="CU27" s="21" t="s">
        <v>103</v>
      </c>
      <c r="CV27" s="16">
        <f>SUMIFS(CV4:CV17,$J$4:$J$17,"x")</f>
        <v>127468.22648685805</v>
      </c>
      <c r="CW27" s="16">
        <f>SUMIFS(CW4:CW17,$J$4:$J$17,"x")</f>
        <v>0</v>
      </c>
      <c r="CX27" s="16">
        <f>SUMIFS(CX4:CX17,$J$4:$J$17,"x")</f>
        <v>0</v>
      </c>
      <c r="CY27" s="16">
        <f>SUMIFS(CY4:CY17,$J$4:$J$17,"x")</f>
        <v>0</v>
      </c>
      <c r="CZ27" s="16">
        <f>SUMIFS(CZ4:CZ17,$J$4:$J$17,"x")</f>
        <v>0</v>
      </c>
      <c r="DA27" s="71">
        <f>SUM(CV27:CZ27)/'Neighborhood Inputs'!$H$28</f>
        <v>3.1223860703159771</v>
      </c>
      <c r="DC27" s="21" t="s">
        <v>103</v>
      </c>
      <c r="DD27" s="16">
        <f>SUMIFS(DD4:DD17,$J$4:$J$17,"x")</f>
        <v>202.08</v>
      </c>
      <c r="DE27" s="16">
        <f>SUMIFS(DE4:DE17,$J$4:$J$17,"x")</f>
        <v>0</v>
      </c>
      <c r="DF27" s="16">
        <f>SUMIFS(DF4:DF17,$J$4:$J$17,"x")</f>
        <v>0</v>
      </c>
      <c r="DG27" s="16">
        <f>SUMIFS(DG4:DG17,$J$4:$J$17,"x")</f>
        <v>0</v>
      </c>
      <c r="DH27" s="16">
        <f>SUMIFS(DH4:DH17,$J$4:$J$17,"x")</f>
        <v>0</v>
      </c>
      <c r="DI27" s="71">
        <f>SUM(DD27:DH27)/'Neighborhood Inputs'!$I$28</f>
        <v>4.7431987862218148E-3</v>
      </c>
      <c r="DK27" s="21" t="s">
        <v>103</v>
      </c>
      <c r="DL27" s="16">
        <f>SUMIFS(DL4:DL17,$J$4:$J$17,"x")</f>
        <v>133026.63572151316</v>
      </c>
      <c r="DM27" s="16">
        <f>SUMIFS(DM4:DM17,$J$4:$J$17,"x")</f>
        <v>0</v>
      </c>
      <c r="DN27" s="16">
        <f>SUMIFS(DN4:DN17,$J$4:$J$17,"x")</f>
        <v>0</v>
      </c>
      <c r="DO27" s="16">
        <f>SUMIFS(DO4:DO17,$J$4:$J$17,"x")</f>
        <v>0</v>
      </c>
      <c r="DP27" s="16">
        <f>SUMIFS(DP4:DP17,$J$4:$J$17,"x")</f>
        <v>0</v>
      </c>
      <c r="DQ27" s="71">
        <f>SUM(DL27:DP27)/'Neighborhood Inputs'!$I$28</f>
        <v>3.1223860703159771</v>
      </c>
      <c r="DS27" s="21" t="s">
        <v>103</v>
      </c>
      <c r="DT27" s="16">
        <f>SUMIFS(DT4:DT17,$J$4:$J$17,"x")</f>
        <v>40.47</v>
      </c>
      <c r="DU27" s="16">
        <f>SUMIFS(DU4:DU17,$J$4:$J$17,"x")</f>
        <v>0</v>
      </c>
      <c r="DV27" s="16">
        <f>SUMIFS(DV4:DV17,$J$4:$J$17,"x")</f>
        <v>0</v>
      </c>
      <c r="DW27" s="16">
        <f>SUMIFS(DW4:DW17,$J$4:$J$17,"x")</f>
        <v>0</v>
      </c>
      <c r="DX27" s="16">
        <f>SUMIFS(DX4:DX17,$J$4:$J$17,"x")</f>
        <v>0</v>
      </c>
      <c r="DY27" s="71">
        <f>SUM(DT27:DX27)/'Neighborhood Inputs'!$J$28</f>
        <v>5.9950226646520311E-4</v>
      </c>
      <c r="EA27" s="21" t="s">
        <v>103</v>
      </c>
      <c r="EB27" s="16">
        <f>SUMIFS(EB4:EB17,$J$4:$J$17,"x")</f>
        <v>210779.79406275036</v>
      </c>
      <c r="EC27" s="16">
        <f>SUMIFS(EC4:EC17,$J$4:$J$17,"x")</f>
        <v>0</v>
      </c>
      <c r="ED27" s="16">
        <f>SUMIFS(ED4:ED17,$J$4:$J$17,"x")</f>
        <v>0</v>
      </c>
      <c r="EE27" s="16">
        <f>SUMIFS(EE4:EE17,$J$4:$J$17,"x")</f>
        <v>0</v>
      </c>
      <c r="EF27" s="16">
        <f>SUMIFS(EF4:EF17,$J$4:$J$17,"x")</f>
        <v>0</v>
      </c>
      <c r="EG27" s="71">
        <f>SUM(EB27:EF27)/'Neighborhood Inputs'!$J$28</f>
        <v>3.1223860703159771</v>
      </c>
      <c r="EI27" s="21" t="s">
        <v>103</v>
      </c>
      <c r="EJ27" s="16">
        <f>SUMIFS(EJ4:EJ17,$J$4:$J$17,"x")</f>
        <v>724183.96250000002</v>
      </c>
      <c r="EK27" s="16">
        <f>SUMIFS(EK4:EK17,$J$4:$J$17,"x")</f>
        <v>0</v>
      </c>
      <c r="EL27" s="16">
        <f>SUMIFS(EL4:EL17,$J$4:$J$17,"x")</f>
        <v>0</v>
      </c>
      <c r="EM27" s="16">
        <f>SUMIFS(EM4:EM17,$J$4:$J$17,"x")</f>
        <v>0</v>
      </c>
      <c r="EN27" s="16">
        <f>SUMIFS(EN4:EN17,$J$4:$J$17,"x")</f>
        <v>0</v>
      </c>
      <c r="EO27" s="71">
        <f>SUM(EJ27:EN27)/'Neighborhood Inputs'!$D$28</f>
        <v>3.3000489572785487</v>
      </c>
    </row>
    <row r="28" spans="2:145" ht="12.9" thickBot="1" x14ac:dyDescent="0.35">
      <c r="B28" s="197" t="s">
        <v>102</v>
      </c>
      <c r="C28" s="202">
        <f t="shared" ca="1" si="0"/>
        <v>8.0651785950675983</v>
      </c>
      <c r="D28" s="203">
        <f t="shared" ca="1" si="0"/>
        <v>3.3967605670322367</v>
      </c>
      <c r="E28" s="207"/>
      <c r="F28" s="207"/>
      <c r="G28" s="202">
        <f t="shared" ca="1" si="1"/>
        <v>8.3858756174225419</v>
      </c>
      <c r="H28" s="203">
        <f t="shared" ca="1" si="1"/>
        <v>4.4367265379434215</v>
      </c>
      <c r="I28" s="202">
        <f t="shared" ca="1" si="1"/>
        <v>3.2730399643969736</v>
      </c>
      <c r="J28" s="203">
        <f t="shared" ca="1" si="1"/>
        <v>2.1660859813084112</v>
      </c>
      <c r="K28" s="202">
        <f t="shared" ca="1" si="1"/>
        <v>2.9046236971673385</v>
      </c>
      <c r="L28" s="203">
        <f t="shared" ca="1" si="1"/>
        <v>1.9222694314304101</v>
      </c>
      <c r="M28" s="202">
        <f t="shared" ca="1" si="1"/>
        <v>8.4986980691250569</v>
      </c>
      <c r="N28" s="203">
        <f t="shared" ca="1" si="1"/>
        <v>5.6244075682394907</v>
      </c>
      <c r="O28" s="202">
        <f t="shared" ca="1" si="1"/>
        <v>18.22684873965359</v>
      </c>
      <c r="P28" s="203">
        <f t="shared" ca="1" si="1"/>
        <v>12.062462410435771</v>
      </c>
      <c r="Q28" s="202">
        <f t="shared" ca="1" si="1"/>
        <v>17.10108671821764</v>
      </c>
      <c r="R28" s="203">
        <f t="shared" ca="1" si="1"/>
        <v>11.317437186348382</v>
      </c>
      <c r="S28" s="605"/>
      <c r="U28" s="603" t="s">
        <v>119</v>
      </c>
      <c r="V28" s="610">
        <f>1-(V27/U27)</f>
        <v>0.69773936524414593</v>
      </c>
      <c r="X28" s="470"/>
      <c r="Y28" s="588"/>
      <c r="AA28" s="21" t="s">
        <v>102</v>
      </c>
      <c r="AB28" s="16">
        <f>SUMIFS(AB4:AB17,$K$4:$K$17,"x")</f>
        <v>1769874.65</v>
      </c>
      <c r="AC28" s="16">
        <f>SUMIFS(AC4:AC17,$K$4:$K$17,"x")</f>
        <v>0</v>
      </c>
      <c r="AD28" s="16">
        <f>SUMIFS(AD4:AD17,$K$4:$K$17,"x")</f>
        <v>0</v>
      </c>
      <c r="AE28" s="16">
        <f>SUMIFS(AE4:AE17,$K$4:$K$17,"x")</f>
        <v>0</v>
      </c>
      <c r="AF28" s="16">
        <f>SUMIFS(AF4:AF17,$K$4:$K$17,"x")</f>
        <v>0</v>
      </c>
      <c r="AG28" s="71">
        <f>SUM(AB28:AF28)/'Neighborhood Inputs'!$D$28</f>
        <v>8.0651785950675983</v>
      </c>
      <c r="AI28" s="21" t="s">
        <v>102</v>
      </c>
      <c r="AJ28" s="16">
        <f>SUMIFS(AJ4:AJ17,$K$4:$K$17,"x")</f>
        <v>745406.98</v>
      </c>
      <c r="AK28" s="16">
        <f>SUMIFS(AK4:AK17,$K$4:$K$17,"x")</f>
        <v>0</v>
      </c>
      <c r="AL28" s="16">
        <f>SUMIFS(AL4:AL17,$K$4:$K$17,"x")</f>
        <v>0</v>
      </c>
      <c r="AM28" s="16">
        <f>SUMIFS(AM4:AM17,$K$4:$K$17,"x")</f>
        <v>0</v>
      </c>
      <c r="AN28" s="16">
        <f>SUMIFS(AN4:AN17,$K$4:$K$17,"x")</f>
        <v>0</v>
      </c>
      <c r="AO28" s="71">
        <f>SUM(AJ28:AN28)/'Neighborhood Inputs'!$D$28</f>
        <v>3.3967605670322367</v>
      </c>
      <c r="AP28" s="442">
        <f>AG28/AO28</f>
        <v>2.3743735938721691</v>
      </c>
      <c r="AQ28" s="21" t="s">
        <v>102</v>
      </c>
      <c r="AR28" s="16">
        <f>SUMIFS(AR4:AR17,$K$4:$K$17,"x")</f>
        <v>37350.69</v>
      </c>
      <c r="AS28" s="16">
        <f>SUMIFS(AS4:AS17,$K$4:$K$17,"x")</f>
        <v>0</v>
      </c>
      <c r="AT28" s="16">
        <f>SUMIFS(AT4:AT17,$K$4:$K$17,"x")</f>
        <v>0</v>
      </c>
      <c r="AU28" s="16">
        <f>SUMIFS(AU4:AU17,$K$4:$K$17,"x")</f>
        <v>0</v>
      </c>
      <c r="AV28" s="16">
        <f>SUMIFS(AV4:AV17,$K$4:$K$17,"x")</f>
        <v>0</v>
      </c>
      <c r="AW28" s="71">
        <f>SUM(AR28:AV28)/'Neighborhood Inputs'!$E$28</f>
        <v>8.3858756174225419</v>
      </c>
      <c r="AY28" s="21" t="s">
        <v>102</v>
      </c>
      <c r="AZ28" s="16">
        <f>SUMIFS(AZ4:AZ17,$K$4:$K$17,"x")</f>
        <v>19761.18</v>
      </c>
      <c r="BA28" s="16">
        <f>SUMIFS(BA4:BA17,$K$4:$K$17,"x")</f>
        <v>0</v>
      </c>
      <c r="BB28" s="16">
        <f>SUMIFS(BB4:BB17,$K$4:$K$17,"x")</f>
        <v>0</v>
      </c>
      <c r="BC28" s="16">
        <f>SUMIFS(BC4:BC17,$K$4:$K$17,"x")</f>
        <v>0</v>
      </c>
      <c r="BD28" s="16">
        <f>SUMIFS(BD4:BD17,$K$4:$K$17,"x")</f>
        <v>0</v>
      </c>
      <c r="BE28" s="71">
        <f>SUM(AZ28:BD28)/'Neighborhood Inputs'!$E$28</f>
        <v>4.4367265379434215</v>
      </c>
      <c r="BF28" s="444">
        <f>AW28/BE28</f>
        <v>1.8901042346661485</v>
      </c>
      <c r="BG28" s="21" t="s">
        <v>102</v>
      </c>
      <c r="BH28" s="16">
        <f>SUMIFS(BH4:BH17,$K$4:$K$17,"x")</f>
        <v>183863.02</v>
      </c>
      <c r="BI28" s="16">
        <f>SUMIFS(BI4:BI17,$K$4:$K$17,"x")</f>
        <v>0</v>
      </c>
      <c r="BJ28" s="16">
        <f>SUMIFS(BJ4:BJ17,$K$4:$K$17,"x")</f>
        <v>0</v>
      </c>
      <c r="BK28" s="16">
        <f>SUMIFS(BK4:BK17,$K$4:$K$17,"x")</f>
        <v>0</v>
      </c>
      <c r="BL28" s="16">
        <f>SUMIFS(BL4:BL17,$K$4:$K$17,"x")</f>
        <v>0</v>
      </c>
      <c r="BM28" s="71">
        <f>SUM(BH28:BL28)/'Neighborhood Inputs'!$F$28</f>
        <v>3.2730399643969736</v>
      </c>
      <c r="BO28" s="21" t="s">
        <v>102</v>
      </c>
      <c r="BP28" s="16">
        <f>SUMIFS(BP4:BP17,$K$4:$K$17,"x")</f>
        <v>121679.88</v>
      </c>
      <c r="BQ28" s="16">
        <f>SUMIFS(BQ4:BQ17,$K$4:$K$17,"x")</f>
        <v>0</v>
      </c>
      <c r="BR28" s="16">
        <f>SUMIFS(BR4:BR17,$K$4:$K$17,"x")</f>
        <v>0</v>
      </c>
      <c r="BS28" s="16">
        <f>SUMIFS(BS4:BS17,$K$4:$K$17,"x")</f>
        <v>0</v>
      </c>
      <c r="BT28" s="16">
        <f>SUMIFS(BT4:BT17,$K$4:$K$17,"x")</f>
        <v>0</v>
      </c>
      <c r="BU28" s="71">
        <f>SUM(BP28:BT28)/'Neighborhood Inputs'!$F$28</f>
        <v>2.1660859813084112</v>
      </c>
      <c r="BV28" s="442">
        <f>BM28/BU28</f>
        <v>1.511038801155951</v>
      </c>
      <c r="BW28" s="21" t="s">
        <v>102</v>
      </c>
      <c r="BX28" s="16">
        <f>SUMIFS(BX4:BX17,$K$4:$K$17,"x")</f>
        <v>90850.82</v>
      </c>
      <c r="BY28" s="16">
        <f>SUMIFS(BY4:BY17,$K$4:$K$17,"x")</f>
        <v>0</v>
      </c>
      <c r="BZ28" s="16">
        <f>SUMIFS(BZ4:BZ17,$K$4:$K$17,"x")</f>
        <v>0</v>
      </c>
      <c r="CA28" s="16">
        <f>SUMIFS(CA4:CA17,$K$4:$K$17,"x")</f>
        <v>0</v>
      </c>
      <c r="CB28" s="16">
        <f>SUMIFS(CB4:CB17,$K$4:$K$17,"x")</f>
        <v>0</v>
      </c>
      <c r="CC28" s="71">
        <f>SUM(BX28:CB28)/'Neighborhood Inputs'!$G$28</f>
        <v>2.9046236971673385</v>
      </c>
      <c r="CE28" s="21" t="s">
        <v>102</v>
      </c>
      <c r="CF28" s="16">
        <f>SUMIFS(CF4:CF17,$K$4:$K$17,"x")</f>
        <v>60124.743276280366</v>
      </c>
      <c r="CG28" s="16">
        <f>SUMIFS(CG4:CG17,$K$4:$K$17,"x")</f>
        <v>0</v>
      </c>
      <c r="CH28" s="16">
        <f>SUMIFS(CH4:CH17,$K$4:$K$17,"x")</f>
        <v>0</v>
      </c>
      <c r="CI28" s="16">
        <f>SUMIFS(CI4:CI17,$K$4:$K$17,"x")</f>
        <v>0</v>
      </c>
      <c r="CJ28" s="16">
        <f>SUMIFS(CJ4:CJ17,$K$4:$K$17,"x")</f>
        <v>0</v>
      </c>
      <c r="CK28" s="71">
        <f>SUM(CF28:CJ28)/'Neighborhood Inputs'!$G$28</f>
        <v>1.9222694314304101</v>
      </c>
      <c r="CM28" s="21" t="s">
        <v>102</v>
      </c>
      <c r="CN28" s="16">
        <f>SUMIFS(CN4:CN17,$K$4:$K$17,"x")</f>
        <v>346950.68</v>
      </c>
      <c r="CO28" s="16">
        <f>SUMIFS(CO4:CO17,$K$4:$K$17,"x")</f>
        <v>0</v>
      </c>
      <c r="CP28" s="16">
        <f>SUMIFS(CP4:CP17,$K$4:$K$17,"x")</f>
        <v>0</v>
      </c>
      <c r="CQ28" s="16">
        <f>SUMIFS(CQ4:CQ17,$K$4:$K$17,"x")</f>
        <v>0</v>
      </c>
      <c r="CR28" s="16">
        <f>SUMIFS(CR4:CR17,$K$4:$K$17,"x")</f>
        <v>0</v>
      </c>
      <c r="CS28" s="71">
        <f>SUM(CN28:CR28)/'Neighborhood Inputs'!$H$28</f>
        <v>8.4986980691250569</v>
      </c>
      <c r="CU28" s="21" t="s">
        <v>102</v>
      </c>
      <c r="CV28" s="16">
        <f>SUMIFS(CV4:CV17,$K$4:$K$17,"x")</f>
        <v>229610.70207765762</v>
      </c>
      <c r="CW28" s="16">
        <f>SUMIFS(CW4:CW17,$K$4:$K$17,"x")</f>
        <v>0</v>
      </c>
      <c r="CX28" s="16">
        <f>SUMIFS(CX4:CX17,$K$4:$K$17,"x")</f>
        <v>0</v>
      </c>
      <c r="CY28" s="16">
        <f>SUMIFS(CY4:CY17,$K$4:$K$17,"x")</f>
        <v>0</v>
      </c>
      <c r="CZ28" s="16">
        <f>SUMIFS(CZ4:CZ17,$K$4:$K$17,"x")</f>
        <v>0</v>
      </c>
      <c r="DA28" s="71">
        <f>SUM(CV28:CZ28)/'Neighborhood Inputs'!$H$28</f>
        <v>5.6244075682394907</v>
      </c>
      <c r="DC28" s="21" t="s">
        <v>102</v>
      </c>
      <c r="DD28" s="16">
        <f>SUMIFS(DD4:DD17,$K$4:$K$17,"x")</f>
        <v>776539.58</v>
      </c>
      <c r="DE28" s="16">
        <f>SUMIFS(DE4:DE17,$K$4:$K$17,"x")</f>
        <v>0</v>
      </c>
      <c r="DF28" s="16">
        <f>SUMIFS(DF4:DF17,$K$4:$K$17,"x")</f>
        <v>0</v>
      </c>
      <c r="DG28" s="16">
        <f>SUMIFS(DG4:DG17,$K$4:$K$17,"x")</f>
        <v>0</v>
      </c>
      <c r="DH28" s="16">
        <f>SUMIFS(DH4:DH17,$K$4:$K$17,"x")</f>
        <v>0</v>
      </c>
      <c r="DI28" s="71">
        <f>SUM(DD28:DH28)/'Neighborhood Inputs'!$I$28</f>
        <v>18.22684873965359</v>
      </c>
      <c r="DK28" s="21" t="s">
        <v>102</v>
      </c>
      <c r="DL28" s="16">
        <f>SUMIFS(DL4:DL17,$K$4:$K$17,"x")</f>
        <v>513911.07852819131</v>
      </c>
      <c r="DM28" s="16">
        <f>SUMIFS(DM4:DM17,$K$4:$K$17,"x")</f>
        <v>0</v>
      </c>
      <c r="DN28" s="16">
        <f>SUMIFS(DN4:DN17,$K$4:$K$17,"x")</f>
        <v>0</v>
      </c>
      <c r="DO28" s="16">
        <f>SUMIFS(DO4:DO17,$K$4:$K$17,"x")</f>
        <v>0</v>
      </c>
      <c r="DP28" s="16">
        <f>SUMIFS(DP4:DP17,$K$4:$K$17,"x")</f>
        <v>0</v>
      </c>
      <c r="DQ28" s="71">
        <f>SUM(DL28:DP28)/'Neighborhood Inputs'!$I$28</f>
        <v>12.062462410435771</v>
      </c>
      <c r="DS28" s="21" t="s">
        <v>102</v>
      </c>
      <c r="DT28" s="16">
        <f>SUMIFS(DT4:DT17,$K$4:$K$17,"x")</f>
        <v>1154425.96</v>
      </c>
      <c r="DU28" s="16">
        <f>SUMIFS(DU4:DU17,$K$4:$K$17,"x")</f>
        <v>0</v>
      </c>
      <c r="DV28" s="16">
        <f>SUMIFS(DV4:DV17,$K$4:$K$17,"x")</f>
        <v>0</v>
      </c>
      <c r="DW28" s="16">
        <f>SUMIFS(DW4:DW17,$K$4:$K$17,"x")</f>
        <v>0</v>
      </c>
      <c r="DX28" s="16">
        <f>SUMIFS(DX4:DX17,$K$4:$K$17,"x")</f>
        <v>0</v>
      </c>
      <c r="DY28" s="71">
        <f>SUM(DT28:DX28)/'Neighborhood Inputs'!$J$28</f>
        <v>17.10108671821764</v>
      </c>
      <c r="EA28" s="21" t="s">
        <v>102</v>
      </c>
      <c r="EB28" s="16">
        <f>SUMIFS(EB4:EB17,$K$4:$K$17,"x")</f>
        <v>763994.91470163385</v>
      </c>
      <c r="EC28" s="16">
        <f>SUMIFS(EC4:EC17,$K$4:$K$17,"x")</f>
        <v>0</v>
      </c>
      <c r="ED28" s="16">
        <f>SUMIFS(ED4:ED17,$K$4:$K$17,"x")</f>
        <v>0</v>
      </c>
      <c r="EE28" s="16">
        <f>SUMIFS(EE4:EE17,$K$4:$K$17,"x")</f>
        <v>0</v>
      </c>
      <c r="EF28" s="16">
        <f>SUMIFS(EF4:EF17,$K$4:$K$17,"x")</f>
        <v>0</v>
      </c>
      <c r="EG28" s="71">
        <f>SUM(EB28:EF28)/'Neighborhood Inputs'!$J$28</f>
        <v>11.317437186348382</v>
      </c>
      <c r="EI28" s="21" t="s">
        <v>102</v>
      </c>
      <c r="EJ28" s="16">
        <f>SUMIFS(EJ4:EJ17,$K$4:$K$17,"x")</f>
        <v>0</v>
      </c>
      <c r="EK28" s="16">
        <f>SUMIFS(EK4:EK17,$K$4:$K$17,"x")</f>
        <v>0</v>
      </c>
      <c r="EL28" s="16">
        <f>SUMIFS(EL4:EL17,$K$4:$K$17,"x")</f>
        <v>0</v>
      </c>
      <c r="EM28" s="16">
        <f>SUMIFS(EM4:EM17,$K$4:$K$17,"x")</f>
        <v>0</v>
      </c>
      <c r="EN28" s="16">
        <f>SUMIFS(EN4:EN17,$K$4:$K$17,"x")</f>
        <v>0</v>
      </c>
      <c r="EO28" s="71">
        <f>SUM(EJ28:EN28)/'Neighborhood Inputs'!$D$28</f>
        <v>0</v>
      </c>
    </row>
    <row r="29" spans="2:145" ht="12.9" thickBot="1" x14ac:dyDescent="0.35">
      <c r="B29" s="197" t="s">
        <v>117</v>
      </c>
      <c r="C29" s="202">
        <f t="shared" ca="1" si="0"/>
        <v>10.279137099655712</v>
      </c>
      <c r="D29" s="203">
        <f t="shared" ca="1" si="0"/>
        <v>10.279137099655712</v>
      </c>
      <c r="E29" s="207"/>
      <c r="F29" s="207"/>
      <c r="G29" s="202">
        <f t="shared" ca="1" si="1"/>
        <v>9.1584710372698694</v>
      </c>
      <c r="H29" s="203">
        <f t="shared" ca="1" si="1"/>
        <v>9.1584710372698694</v>
      </c>
      <c r="I29" s="202">
        <f t="shared" ca="1" si="1"/>
        <v>5.8465055629728528</v>
      </c>
      <c r="J29" s="203">
        <f t="shared" ca="1" si="1"/>
        <v>5.8465055629728528</v>
      </c>
      <c r="K29" s="202">
        <f t="shared" ca="1" si="1"/>
        <v>10.188866615512501</v>
      </c>
      <c r="L29" s="203">
        <f t="shared" ca="1" si="1"/>
        <v>10.188866615512501</v>
      </c>
      <c r="M29" s="202">
        <f t="shared" ca="1" si="1"/>
        <v>11.417891151230233</v>
      </c>
      <c r="N29" s="203">
        <f t="shared" ca="1" si="1"/>
        <v>11.417891151230233</v>
      </c>
      <c r="O29" s="202">
        <f t="shared" ca="1" si="1"/>
        <v>11.417889473703976</v>
      </c>
      <c r="P29" s="203">
        <f t="shared" ca="1" si="1"/>
        <v>11.417889473703976</v>
      </c>
      <c r="Q29" s="202">
        <f t="shared" ca="1" si="1"/>
        <v>11.417989512043375</v>
      </c>
      <c r="R29" s="203">
        <f t="shared" ca="1" si="1"/>
        <v>11.417989512043375</v>
      </c>
      <c r="S29" s="605"/>
      <c r="U29" s="604"/>
      <c r="V29" s="602"/>
      <c r="X29" s="470"/>
      <c r="Y29" s="588"/>
      <c r="AA29" s="21" t="s">
        <v>117</v>
      </c>
      <c r="AB29" s="16">
        <f>SUMIFS(AB4:AB17,$L$4:$L$17,"x")</f>
        <v>1725200.53</v>
      </c>
      <c r="AC29" s="16">
        <f>SUMIFS(AC4:AC17,$L$4:$L$17,"x")</f>
        <v>530519.41</v>
      </c>
      <c r="AD29" s="16">
        <f>SUMIFS(AD4:AD17,$L$4:$L$17,"x")</f>
        <v>0</v>
      </c>
      <c r="AE29" s="16">
        <f>SUMIFS(AE4:AE17,$L$4:$L$17,"x")</f>
        <v>0</v>
      </c>
      <c r="AF29" s="16">
        <f>SUMIFS(AF4:AF17,$L$4:$L$17,"x")</f>
        <v>0</v>
      </c>
      <c r="AG29" s="71">
        <f>SUM(AB29:AF29)/'Neighborhood Inputs'!$D$28</f>
        <v>10.279137099655712</v>
      </c>
      <c r="AI29" s="21" t="s">
        <v>117</v>
      </c>
      <c r="AJ29" s="16">
        <f>SUMIFS(AJ4:AJ17,$L$4:$L$17,"x")</f>
        <v>1725200.53</v>
      </c>
      <c r="AK29" s="16">
        <f>SUMIFS(AK4:AK17,$L$4:$L$17,"x")</f>
        <v>530519.41</v>
      </c>
      <c r="AL29" s="16">
        <f>SUMIFS(AL4:AL17,$L$4:$L$17,"x")</f>
        <v>0</v>
      </c>
      <c r="AM29" s="16">
        <f>SUMIFS(AM4:AM17,$L$4:$L$17,"x")</f>
        <v>0</v>
      </c>
      <c r="AN29" s="16">
        <f>SUMIFS(AN4:AN17,$L$4:$L$17,"x")</f>
        <v>0</v>
      </c>
      <c r="AO29" s="71">
        <f>SUM(AJ29:AN29)/'Neighborhood Inputs'!$D$28</f>
        <v>10.279137099655712</v>
      </c>
      <c r="AP29" s="178"/>
      <c r="AQ29" s="21" t="s">
        <v>117</v>
      </c>
      <c r="AR29" s="16">
        <f>SUMIFS(AR4:AR17,$L$4:$L$17,"x")</f>
        <v>40791.83</v>
      </c>
      <c r="AS29" s="16">
        <f>SUMIFS(AS4:AS17,$L$4:$L$17,"x")</f>
        <v>0</v>
      </c>
      <c r="AT29" s="16">
        <f>SUMIFS(AT4:AT17,$L$4:$L$17,"x")</f>
        <v>0</v>
      </c>
      <c r="AU29" s="16">
        <f>SUMIFS(AU4:AU17,$L$4:$L$17,"x")</f>
        <v>0</v>
      </c>
      <c r="AV29" s="16">
        <f>SUMIFS(AV4:AV17,$L$4:$L$17,"x")</f>
        <v>0</v>
      </c>
      <c r="AW29" s="71">
        <f>SUM(AR29:AV29)/'Neighborhood Inputs'!$E$28</f>
        <v>9.1584710372698694</v>
      </c>
      <c r="AY29" s="21" t="s">
        <v>117</v>
      </c>
      <c r="AZ29" s="16">
        <f>SUMIFS(AZ4:AZ17,$L$4:$L$17,"x")</f>
        <v>40791.83</v>
      </c>
      <c r="BA29" s="16">
        <f>SUMIFS(BA4:BA17,$L$4:$L$17,"x")</f>
        <v>0</v>
      </c>
      <c r="BB29" s="16">
        <f>SUMIFS(BB4:BB17,$L$4:$L$17,"x")</f>
        <v>0</v>
      </c>
      <c r="BC29" s="16">
        <f>SUMIFS(BC4:BC17,$L$4:$L$17,"x")</f>
        <v>0</v>
      </c>
      <c r="BD29" s="16">
        <f>SUMIFS(BD4:BD17,$L$4:$L$17,"x")</f>
        <v>0</v>
      </c>
      <c r="BE29" s="71">
        <f>SUM(AZ29:BD29)/'Neighborhood Inputs'!$E$28</f>
        <v>9.1584710372698694</v>
      </c>
      <c r="BG29" s="21" t="s">
        <v>117</v>
      </c>
      <c r="BH29" s="16">
        <f>SUMIFS(BH4:BH17,$L$4:$L$17,"x")</f>
        <v>328427.45</v>
      </c>
      <c r="BI29" s="16">
        <f>SUMIFS(BI4:BI17,$L$4:$L$17,"x")</f>
        <v>0</v>
      </c>
      <c r="BJ29" s="16">
        <f>SUMIFS(BJ4:BJ17,$L$4:$L$17,"x")</f>
        <v>0</v>
      </c>
      <c r="BK29" s="16">
        <f>SUMIFS(BK4:BK17,$L$4:$L$17,"x")</f>
        <v>0</v>
      </c>
      <c r="BL29" s="16">
        <f>SUMIFS(BL4:BL17,$L$4:$L$17,"x")</f>
        <v>0</v>
      </c>
      <c r="BM29" s="71">
        <f>SUM(BH29:BL29)/'Neighborhood Inputs'!$F$28</f>
        <v>5.8465055629728528</v>
      </c>
      <c r="BO29" s="21" t="s">
        <v>117</v>
      </c>
      <c r="BP29" s="16">
        <f>SUMIFS(BP4:BP17,$L$4:$L$17,"x")</f>
        <v>328427.45</v>
      </c>
      <c r="BQ29" s="16">
        <f>SUMIFS(BQ4:BQ17,$L$4:$L$17,"x")</f>
        <v>0</v>
      </c>
      <c r="BR29" s="16">
        <f>SUMIFS(BR4:BR17,$L$4:$L$17,"x")</f>
        <v>0</v>
      </c>
      <c r="BS29" s="16">
        <f>SUMIFS(BS4:BS17,$L$4:$L$17,"x")</f>
        <v>0</v>
      </c>
      <c r="BT29" s="16">
        <f>SUMIFS(BT4:BT17,$L$4:$L$17,"x")</f>
        <v>0</v>
      </c>
      <c r="BU29" s="71">
        <f>SUM(BP29:BT29)/'Neighborhood Inputs'!$F$28</f>
        <v>5.8465055629728528</v>
      </c>
      <c r="BW29" s="21" t="s">
        <v>117</v>
      </c>
      <c r="BX29" s="16">
        <f>SUMIFS(BX4:BX17,$L$4:$L$17,"x")</f>
        <v>318687.37</v>
      </c>
      <c r="BY29" s="16">
        <f>SUMIFS(BY4:BY17,$L$4:$L$17,"x")</f>
        <v>0</v>
      </c>
      <c r="BZ29" s="16">
        <f>SUMIFS(BZ4:BZ17,$L$4:$L$17,"x")</f>
        <v>0</v>
      </c>
      <c r="CA29" s="16">
        <f>SUMIFS(CA4:CA17,$L$4:$L$17,"x")</f>
        <v>0</v>
      </c>
      <c r="CB29" s="16">
        <f>SUMIFS(CB4:CB17,$L$4:$L$17,"x")</f>
        <v>0</v>
      </c>
      <c r="CC29" s="71">
        <f>SUM(BX29:CB29)/'Neighborhood Inputs'!$G$28</f>
        <v>10.188866615512501</v>
      </c>
      <c r="CE29" s="21" t="s">
        <v>117</v>
      </c>
      <c r="CF29" s="16">
        <f>SUMIFS(CF4:CF17,$L$4:$L$17,"x")</f>
        <v>318687.37</v>
      </c>
      <c r="CG29" s="16">
        <f>SUMIFS(CG4:CG17,$L$4:$L$17,"x")</f>
        <v>0</v>
      </c>
      <c r="CH29" s="16">
        <f>SUMIFS(CH4:CH17,$L$4:$L$17,"x")</f>
        <v>0</v>
      </c>
      <c r="CI29" s="16">
        <f>SUMIFS(CI4:CI17,$L$4:$L$17,"x")</f>
        <v>0</v>
      </c>
      <c r="CJ29" s="16">
        <f>SUMIFS(CJ4:CJ17,$L$4:$L$17,"x")</f>
        <v>0</v>
      </c>
      <c r="CK29" s="71">
        <f>SUM(CF29:CJ29)/'Neighborhood Inputs'!$G$28</f>
        <v>10.188866615512501</v>
      </c>
      <c r="CM29" s="21" t="s">
        <v>117</v>
      </c>
      <c r="CN29" s="16">
        <f>SUMIFS(CN4:CN17,$L$4:$L$17,"x")</f>
        <v>466123.76</v>
      </c>
      <c r="CO29" s="16">
        <f>SUMIFS(CO4:CO17,$L$4:$L$17,"x")</f>
        <v>0</v>
      </c>
      <c r="CP29" s="16">
        <f>SUMIFS(CP4:CP17,$L$4:$L$17,"x")</f>
        <v>0</v>
      </c>
      <c r="CQ29" s="16">
        <f>SUMIFS(CQ4:CQ17,$L$4:$L$17,"x")</f>
        <v>0</v>
      </c>
      <c r="CR29" s="16">
        <f>SUMIFS(CR4:CR17,$L$4:$L$17,"x")</f>
        <v>0</v>
      </c>
      <c r="CS29" s="71">
        <f>SUM(CN29:CR29)/'Neighborhood Inputs'!$H$28</f>
        <v>11.417891151230233</v>
      </c>
      <c r="CU29" s="21" t="s">
        <v>117</v>
      </c>
      <c r="CV29" s="16">
        <f>SUMIFS(CV4:CV17,$L$4:$L$17,"x")</f>
        <v>466123.76</v>
      </c>
      <c r="CW29" s="16">
        <f>SUMIFS(CW4:CW17,$L$4:$L$17,"x")</f>
        <v>0</v>
      </c>
      <c r="CX29" s="16">
        <f>SUMIFS(CX4:CX17,$L$4:$L$17,"x")</f>
        <v>0</v>
      </c>
      <c r="CY29" s="16">
        <f>SUMIFS(CY4:CY17,$L$4:$L$17,"x")</f>
        <v>0</v>
      </c>
      <c r="CZ29" s="16">
        <f>SUMIFS(CZ4:CZ17,$L$4:$L$17,"x")</f>
        <v>0</v>
      </c>
      <c r="DA29" s="71">
        <f>SUM(CV29:CZ29)/'Neighborhood Inputs'!$H$28</f>
        <v>11.417891151230233</v>
      </c>
      <c r="DC29" s="21" t="s">
        <v>117</v>
      </c>
      <c r="DD29" s="16">
        <f>SUMIFS(DD4:DD17,$L$4:$L$17,"x")</f>
        <v>486449.59</v>
      </c>
      <c r="DE29" s="16">
        <f>SUMIFS(DE4:DE17,$L$4:$L$17,"x")</f>
        <v>0</v>
      </c>
      <c r="DF29" s="16">
        <f>SUMIFS(DF4:DF17,$L$4:$L$17,"x")</f>
        <v>0</v>
      </c>
      <c r="DG29" s="16">
        <f>SUMIFS(DG4:DG17,$L$4:$L$17,"x")</f>
        <v>0</v>
      </c>
      <c r="DH29" s="16">
        <f>SUMIFS(DH4:DH17,$L$4:$L$17,"x")</f>
        <v>0</v>
      </c>
      <c r="DI29" s="71">
        <f>SUM(DD29:DH29)/'Neighborhood Inputs'!$I$28</f>
        <v>11.417889473703976</v>
      </c>
      <c r="DK29" s="21" t="s">
        <v>117</v>
      </c>
      <c r="DL29" s="16">
        <f>SUMIFS(DL4:DL17,$L$4:$L$17,"x")</f>
        <v>486449.59</v>
      </c>
      <c r="DM29" s="16">
        <f>SUMIFS(DM4:DM17,$L$4:$L$17,"x")</f>
        <v>0</v>
      </c>
      <c r="DN29" s="16">
        <f>SUMIFS(DN4:DN17,$L$4:$L$17,"x")</f>
        <v>0</v>
      </c>
      <c r="DO29" s="16">
        <f>SUMIFS(DO4:DO17,$L$4:$L$17,"x")</f>
        <v>0</v>
      </c>
      <c r="DP29" s="16">
        <f>SUMIFS(DP4:DP17,$L$4:$L$17,"x")</f>
        <v>0</v>
      </c>
      <c r="DQ29" s="71">
        <f>SUM(DL29:DP29)/'Neighborhood Inputs'!$I$28</f>
        <v>11.417889473703976</v>
      </c>
      <c r="DS29" s="21" t="s">
        <v>117</v>
      </c>
      <c r="DT29" s="16">
        <f>SUMIFS(DT4:DT17,$L$4:$L$17,"x")</f>
        <v>770782.8</v>
      </c>
      <c r="DU29" s="16">
        <f>SUMIFS(DU4:DU17,$L$4:$L$17,"x")</f>
        <v>0</v>
      </c>
      <c r="DV29" s="16">
        <f>SUMIFS(DV4:DV17,$L$4:$L$17,"x")</f>
        <v>0</v>
      </c>
      <c r="DW29" s="16">
        <f>SUMIFS(DW4:DW17,$L$4:$L$17,"x")</f>
        <v>0</v>
      </c>
      <c r="DX29" s="16">
        <f>SUMIFS(DX4:DX17,$L$4:$L$17,"x")</f>
        <v>0</v>
      </c>
      <c r="DY29" s="71">
        <f>SUM(DT29:DX29)/'Neighborhood Inputs'!$J$28</f>
        <v>11.417989512043375</v>
      </c>
      <c r="EA29" s="21" t="s">
        <v>117</v>
      </c>
      <c r="EB29" s="16">
        <f>SUMIFS(EB4:EB17,$L$4:$L$17,"x")</f>
        <v>770782.8</v>
      </c>
      <c r="EC29" s="16">
        <f>SUMIFS(EC4:EC17,$L$4:$L$17,"x")</f>
        <v>0</v>
      </c>
      <c r="ED29" s="16">
        <f>SUMIFS(ED4:ED17,$L$4:$L$17,"x")</f>
        <v>0</v>
      </c>
      <c r="EE29" s="16">
        <f>SUMIFS(EE4:EE17,$L$4:$L$17,"x")</f>
        <v>0</v>
      </c>
      <c r="EF29" s="16">
        <f>SUMIFS(EF4:EF17,$L$4:$L$17,"x")</f>
        <v>0</v>
      </c>
      <c r="EG29" s="71">
        <f>SUM(EB29:EF29)/'Neighborhood Inputs'!$J$28</f>
        <v>11.417989512043375</v>
      </c>
      <c r="EI29" s="21" t="s">
        <v>117</v>
      </c>
      <c r="EJ29" s="16">
        <f>SUMIFS(EJ4:EJ17,$L$4:$L$17,"x")</f>
        <v>0</v>
      </c>
      <c r="EK29" s="16">
        <f>SUMIFS(EK4:EK17,$L$4:$L$17,"x")</f>
        <v>0</v>
      </c>
      <c r="EL29" s="16">
        <f>SUMIFS(EL4:EL17,$L$4:$L$17,"x")</f>
        <v>0</v>
      </c>
      <c r="EM29" s="16">
        <f>SUMIFS(EM4:EM17,$L$4:$L$17,"x")</f>
        <v>0</v>
      </c>
      <c r="EN29" s="16">
        <f>SUMIFS(EN4:EN17,$L$4:$L$17,"x")</f>
        <v>0</v>
      </c>
      <c r="EO29" s="71">
        <f>SUM(EJ29:EN29)/'Neighborhood Inputs'!$D$28</f>
        <v>0</v>
      </c>
    </row>
    <row r="30" spans="2:145" ht="12.9" thickBot="1" x14ac:dyDescent="0.35">
      <c r="B30" s="197" t="s">
        <v>95</v>
      </c>
      <c r="C30" s="202">
        <f t="shared" ca="1" si="0"/>
        <v>8.8102433473171562</v>
      </c>
      <c r="D30" s="203">
        <f t="shared" ca="1" si="0"/>
        <v>8.8097157925968546</v>
      </c>
      <c r="E30" s="207"/>
      <c r="F30" s="207"/>
      <c r="G30" s="202">
        <f t="shared" ca="1" si="1"/>
        <v>2.9049259092950157</v>
      </c>
      <c r="H30" s="203">
        <f t="shared" ca="1" si="1"/>
        <v>2.9091109115401887</v>
      </c>
      <c r="I30" s="202">
        <f t="shared" ca="1" si="1"/>
        <v>3.8429651980418336</v>
      </c>
      <c r="J30" s="203">
        <f t="shared" ca="1" si="1"/>
        <v>3.8422114819759683</v>
      </c>
      <c r="K30" s="202">
        <f t="shared" ca="1" si="1"/>
        <v>5.1927677600869622</v>
      </c>
      <c r="L30" s="203">
        <f t="shared" ca="1" si="1"/>
        <v>5.1927677600869622</v>
      </c>
      <c r="M30" s="202">
        <f t="shared" ca="1" si="1"/>
        <v>4.9933007511761467</v>
      </c>
      <c r="N30" s="203">
        <f t="shared" ca="1" si="1"/>
        <v>4.9933007511761467</v>
      </c>
      <c r="O30" s="202">
        <f t="shared" ca="1" si="1"/>
        <v>5.0049107880544996</v>
      </c>
      <c r="P30" s="203">
        <f t="shared" ca="1" si="1"/>
        <v>5.0049107880544996</v>
      </c>
      <c r="Q30" s="202">
        <f t="shared" ca="1" si="1"/>
        <v>4.9723272005451369</v>
      </c>
      <c r="R30" s="203">
        <f t="shared" ca="1" si="1"/>
        <v>4.9723272005451369</v>
      </c>
      <c r="S30" s="605"/>
      <c r="U30" s="770" t="s">
        <v>458</v>
      </c>
      <c r="V30" s="771"/>
      <c r="W30" s="771"/>
      <c r="X30" s="772"/>
      <c r="Y30" s="588"/>
      <c r="AA30" s="21" t="s">
        <v>95</v>
      </c>
      <c r="AB30" s="16">
        <f>SUMIFS(AB4:AB17,$M$4:$M$17,"x")</f>
        <v>0</v>
      </c>
      <c r="AC30" s="16">
        <f>SUMIFS(AC4:AC17,$M$4:$M$17,"x")</f>
        <v>1933376.45</v>
      </c>
      <c r="AD30" s="16">
        <f>SUMIFS(AD4:AD17,$M$4:$M$17,"x")</f>
        <v>0</v>
      </c>
      <c r="AE30" s="16">
        <f>SUMIFS(AE4:AE17,$M$4:$M$17,"x")</f>
        <v>0</v>
      </c>
      <c r="AF30" s="16">
        <f>SUMIFS(AF4:AF17,$M$4:$M$17,"x")</f>
        <v>0</v>
      </c>
      <c r="AG30" s="71">
        <f>SUM(AB30:AF30)/'Neighborhood Inputs'!$D$28</f>
        <v>8.8102433473171562</v>
      </c>
      <c r="AH30" s="172"/>
      <c r="AI30" s="21" t="s">
        <v>95</v>
      </c>
      <c r="AJ30" s="16">
        <f>SUMIFS(AJ4:AJ17,$M$4:$M$17,"x")</f>
        <v>0</v>
      </c>
      <c r="AK30" s="16">
        <f>SUMIFS(AK4:AK17,$M$4:$M$17,"x")</f>
        <v>1933260.68</v>
      </c>
      <c r="AL30" s="16">
        <f>SUMIFS(AL4:AL17,$M$4:$M$17,"x")</f>
        <v>0</v>
      </c>
      <c r="AM30" s="16">
        <f>SUMIFS(AM4:AM17,$M$4:$M$17,"x")</f>
        <v>0</v>
      </c>
      <c r="AN30" s="16">
        <f>SUMIFS(AN4:AN17,$M$4:$M$17,"x")</f>
        <v>0</v>
      </c>
      <c r="AO30" s="71">
        <f>SUM(AJ30:AN30)/'Neighborhood Inputs'!$D$28</f>
        <v>8.8097157925968546</v>
      </c>
      <c r="AP30" s="178"/>
      <c r="AQ30" s="21" t="s">
        <v>95</v>
      </c>
      <c r="AR30" s="16">
        <f>SUMIFS(AR4:AR17,$M$4:$M$17,"x")</f>
        <v>0</v>
      </c>
      <c r="AS30" s="16">
        <f>SUMIFS(AS4:AS17,$M$4:$M$17,"x")</f>
        <v>12938.54</v>
      </c>
      <c r="AT30" s="16">
        <f>SUMIFS(AT4:AT17,$M$4:$M$17,"x")</f>
        <v>0</v>
      </c>
      <c r="AU30" s="16">
        <f>SUMIFS(AU4:AU17,$M$4:$M$17,"x")</f>
        <v>0</v>
      </c>
      <c r="AV30" s="16">
        <f>SUMIFS(AV4:AV17,$M$4:$M$17,"x")</f>
        <v>0</v>
      </c>
      <c r="AW30" s="71">
        <f>SUM(AR30:AV30)/'Neighborhood Inputs'!$E$28</f>
        <v>2.9049259092950157</v>
      </c>
      <c r="AY30" s="21" t="s">
        <v>95</v>
      </c>
      <c r="AZ30" s="16">
        <f>SUMIFS(AZ4:AZ17,$M$4:$M$17,"x")</f>
        <v>0</v>
      </c>
      <c r="BA30" s="16">
        <f>SUMIFS(BA4:BA17,$M$4:$M$17,"x")</f>
        <v>12957.18</v>
      </c>
      <c r="BB30" s="16">
        <f>SUMIFS(BB4:BB17,$M$4:$M$17,"x")</f>
        <v>0</v>
      </c>
      <c r="BC30" s="16">
        <f>SUMIFS(BC4:BC17,$M$4:$M$17,"x")</f>
        <v>0</v>
      </c>
      <c r="BD30" s="16">
        <f>SUMIFS(BD4:BD17,$M$4:$M$17,"x")</f>
        <v>0</v>
      </c>
      <c r="BE30" s="71">
        <f>SUM(AZ30:BD30)/'Neighborhood Inputs'!$E$28</f>
        <v>2.9091109115401887</v>
      </c>
      <c r="BG30" s="21" t="s">
        <v>95</v>
      </c>
      <c r="BH30" s="16">
        <f>SUMIFS(BH4:BH17,$M$4:$M$17,"x")</f>
        <v>0</v>
      </c>
      <c r="BI30" s="16">
        <f>SUMIFS(BI4:BI17,$M$4:$M$17,"x")</f>
        <v>215878.57</v>
      </c>
      <c r="BJ30" s="16">
        <f>SUMIFS(BJ4:BJ17,$M$4:$M$17,"x")</f>
        <v>0</v>
      </c>
      <c r="BK30" s="16">
        <f>SUMIFS(BK4:BK17,$M$4:$M$17,"x")</f>
        <v>0</v>
      </c>
      <c r="BL30" s="16">
        <f>SUMIFS(BL4:BL17,$M$4:$M$17,"x")</f>
        <v>0</v>
      </c>
      <c r="BM30" s="71">
        <f>SUM(BH30:BL30)/'Neighborhood Inputs'!$F$28</f>
        <v>3.8429651980418336</v>
      </c>
      <c r="BO30" s="21" t="s">
        <v>95</v>
      </c>
      <c r="BP30" s="16">
        <f>SUMIFS(BP4:BP17,$M$4:$M$17,"x")</f>
        <v>0</v>
      </c>
      <c r="BQ30" s="16">
        <f>SUMIFS(BQ4:BQ17,$M$4:$M$17,"x")</f>
        <v>215836.23</v>
      </c>
      <c r="BR30" s="16">
        <f>SUMIFS(BR4:BR17,$M$4:$M$17,"x")</f>
        <v>0</v>
      </c>
      <c r="BS30" s="16">
        <f>SUMIFS(BS4:BS17,$M$4:$M$17,"x")</f>
        <v>0</v>
      </c>
      <c r="BT30" s="16">
        <f>SUMIFS(BT4:BT17,$M$4:$M$17,"x")</f>
        <v>0</v>
      </c>
      <c r="BU30" s="71">
        <f>SUM(BP30:BT30)/'Neighborhood Inputs'!$F$28</f>
        <v>3.8422114819759683</v>
      </c>
      <c r="BW30" s="21" t="s">
        <v>95</v>
      </c>
      <c r="BX30" s="16">
        <f>SUMIFS(BX4:BX17,$M$4:$M$17,"x")</f>
        <v>0</v>
      </c>
      <c r="BY30" s="16">
        <f>SUMIFS(BY4:BY17,$M$4:$M$17,"x")</f>
        <v>162419.39000000001</v>
      </c>
      <c r="BZ30" s="16">
        <f>SUMIFS(BZ4:BZ17,$M$4:$M$17,"x")</f>
        <v>0</v>
      </c>
      <c r="CA30" s="16">
        <f>SUMIFS(CA4:CA17,$M$4:$M$17,"x")</f>
        <v>0</v>
      </c>
      <c r="CB30" s="16">
        <f>SUMIFS(CB4:CB17,$M$4:$M$17,"x")</f>
        <v>0</v>
      </c>
      <c r="CC30" s="71">
        <f>SUM(BX30:CB30)/'Neighborhood Inputs'!$G$28</f>
        <v>5.1927677600869622</v>
      </c>
      <c r="CE30" s="21" t="s">
        <v>95</v>
      </c>
      <c r="CF30" s="16">
        <f>SUMIFS(CF4:CF17,$M$4:$M$17,"x")</f>
        <v>0</v>
      </c>
      <c r="CG30" s="16">
        <f>SUMIFS(CG4:CG17,$M$4:$M$17,"x")</f>
        <v>162419.39000000001</v>
      </c>
      <c r="CH30" s="16">
        <f>SUMIFS(CH4:CH17,$M$4:$M$17,"x")</f>
        <v>0</v>
      </c>
      <c r="CI30" s="16">
        <f>SUMIFS(CI4:CI17,$M$4:$M$17,"x")</f>
        <v>0</v>
      </c>
      <c r="CJ30" s="16">
        <f>SUMIFS(CJ4:CJ17,$M$4:$M$17,"x")</f>
        <v>0</v>
      </c>
      <c r="CK30" s="71">
        <f>SUM(CF30:CJ30)/'Neighborhood Inputs'!$G$28</f>
        <v>5.1927677600869622</v>
      </c>
      <c r="CM30" s="21" t="s">
        <v>95</v>
      </c>
      <c r="CN30" s="16">
        <f>SUMIFS(CN4:CN17,$M$4:$M$17,"x")</f>
        <v>0</v>
      </c>
      <c r="CO30" s="16">
        <f>SUMIFS(CO4:CO17,$M$4:$M$17,"x")</f>
        <v>203846.41</v>
      </c>
      <c r="CP30" s="16">
        <f>SUMIFS(CP4:CP17,$M$4:$M$17,"x")</f>
        <v>0</v>
      </c>
      <c r="CQ30" s="16">
        <f>SUMIFS(CQ4:CQ17,$M$4:$M$17,"x")</f>
        <v>0</v>
      </c>
      <c r="CR30" s="16">
        <f>SUMIFS(CR4:CR17,$M$4:$M$17,"x")</f>
        <v>0</v>
      </c>
      <c r="CS30" s="71">
        <f>SUM(CN30:CR30)/'Neighborhood Inputs'!$H$28</f>
        <v>4.9933007511761467</v>
      </c>
      <c r="CU30" s="21" t="s">
        <v>95</v>
      </c>
      <c r="CV30" s="16">
        <f>SUMIFS(CV4:CV17,$M$4:$M$17,"x")</f>
        <v>0</v>
      </c>
      <c r="CW30" s="16">
        <f>SUMIFS(CW4:CW17,$M$4:$M$17,"x")</f>
        <v>203846.41</v>
      </c>
      <c r="CX30" s="16">
        <f>SUMIFS(CX4:CX17,$M$4:$M$17,"x")</f>
        <v>0</v>
      </c>
      <c r="CY30" s="16">
        <f>SUMIFS(CY4:CY17,$M$4:$M$17,"x")</f>
        <v>0</v>
      </c>
      <c r="CZ30" s="16">
        <f>SUMIFS(CZ4:CZ17,$M$4:$M$17,"x")</f>
        <v>0</v>
      </c>
      <c r="DA30" s="71">
        <f>SUM(CV30:CZ30)/'Neighborhood Inputs'!$H$28</f>
        <v>4.9933007511761467</v>
      </c>
      <c r="DC30" s="21" t="s">
        <v>95</v>
      </c>
      <c r="DD30" s="16">
        <f>SUMIFS(DD4:DD17,$M$4:$M$17,"x")</f>
        <v>0</v>
      </c>
      <c r="DE30" s="16">
        <f>SUMIFS(DE4:DE17,$M$4:$M$17,"x")</f>
        <v>213230.02</v>
      </c>
      <c r="DF30" s="16">
        <f>SUMIFS(DF4:DF17,$M$4:$M$17,"x")</f>
        <v>0</v>
      </c>
      <c r="DG30" s="16">
        <f>SUMIFS(DG4:DG17,$M$4:$M$17,"x")</f>
        <v>0</v>
      </c>
      <c r="DH30" s="16">
        <f>SUMIFS(DH4:DH17,$M$4:$M$17,"x")</f>
        <v>0</v>
      </c>
      <c r="DI30" s="71">
        <f>SUM(DD30:DH30)/'Neighborhood Inputs'!$I$28</f>
        <v>5.0049107880544996</v>
      </c>
      <c r="DK30" s="21" t="s">
        <v>95</v>
      </c>
      <c r="DL30" s="16">
        <f>SUMIFS(DL4:DL17,$M$4:$M$17,"x")</f>
        <v>0</v>
      </c>
      <c r="DM30" s="16">
        <f>SUMIFS(DM4:DM17,$M$4:$M$17,"x")</f>
        <v>213230.02</v>
      </c>
      <c r="DN30" s="16">
        <f>SUMIFS(DN4:DN17,$M$4:$M$17,"x")</f>
        <v>0</v>
      </c>
      <c r="DO30" s="16">
        <f>SUMIFS(DO4:DO17,$M$4:$M$17,"x")</f>
        <v>0</v>
      </c>
      <c r="DP30" s="16">
        <f>SUMIFS(DP4:DP17,$M$4:$M$17,"x")</f>
        <v>0</v>
      </c>
      <c r="DQ30" s="71">
        <f>SUM(DL30:DP30)/'Neighborhood Inputs'!$I$28</f>
        <v>5.0049107880544996</v>
      </c>
      <c r="DS30" s="21" t="s">
        <v>95</v>
      </c>
      <c r="DT30" s="16">
        <f>SUMIFS(DT4:DT17,$M$4:$M$17,"x")</f>
        <v>0</v>
      </c>
      <c r="DU30" s="16">
        <f>SUMIFS(DU4:DU17,$M$4:$M$17,"x")</f>
        <v>335661.92</v>
      </c>
      <c r="DV30" s="16">
        <f>SUMIFS(DV4:DV17,$M$4:$M$17,"x")</f>
        <v>0</v>
      </c>
      <c r="DW30" s="16">
        <f>SUMIFS(DW4:DW17,$M$4:$M$17,"x")</f>
        <v>0</v>
      </c>
      <c r="DX30" s="16">
        <f>SUMIFS(DX4:DX17,$M$4:$M$17,"x")</f>
        <v>0</v>
      </c>
      <c r="DY30" s="71">
        <f>SUM(DT30:DX30)/'Neighborhood Inputs'!$J$28</f>
        <v>4.9723272005451369</v>
      </c>
      <c r="EA30" s="21" t="s">
        <v>95</v>
      </c>
      <c r="EB30" s="16">
        <f>SUMIFS(EB4:EB17,$M$4:$M$17,"x")</f>
        <v>0</v>
      </c>
      <c r="EC30" s="16">
        <f>SUMIFS(EC4:EC17,$M$4:$M$17,"x")</f>
        <v>335661.92</v>
      </c>
      <c r="ED30" s="16">
        <f>SUMIFS(ED4:ED17,$M$4:$M$17,"x")</f>
        <v>0</v>
      </c>
      <c r="EE30" s="16">
        <f>SUMIFS(EE4:EE17,$M$4:$M$17,"x")</f>
        <v>0</v>
      </c>
      <c r="EF30" s="16">
        <f>SUMIFS(EF4:EF17,$M$4:$M$17,"x")</f>
        <v>0</v>
      </c>
      <c r="EG30" s="71">
        <f>SUM(EB30:EF30)/'Neighborhood Inputs'!$J$28</f>
        <v>4.9723272005451369</v>
      </c>
      <c r="EI30" s="21" t="s">
        <v>95</v>
      </c>
      <c r="EJ30" s="16">
        <f>SUMIFS(EJ4:EJ17,$M$4:$M$17,"x")</f>
        <v>0</v>
      </c>
      <c r="EK30" s="16">
        <f>SUMIFS(EK4:EK17,$M$4:$M$17,"x")</f>
        <v>0</v>
      </c>
      <c r="EL30" s="16">
        <f>SUMIFS(EL4:EL17,$M$4:$M$17,"x")</f>
        <v>0</v>
      </c>
      <c r="EM30" s="16">
        <f>SUMIFS(EM4:EM17,$M$4:$M$17,"x")</f>
        <v>0</v>
      </c>
      <c r="EN30" s="16">
        <f>SUMIFS(EN4:EN17,$M$4:$M$17,"x")</f>
        <v>0</v>
      </c>
      <c r="EO30" s="71">
        <f>SUM(EJ30:EN30)/'Neighborhood Inputs'!$D$28</f>
        <v>0</v>
      </c>
    </row>
    <row r="31" spans="2:145" ht="12.9" thickBot="1" x14ac:dyDescent="0.35">
      <c r="B31" s="198" t="s">
        <v>2</v>
      </c>
      <c r="C31" s="204">
        <f t="shared" ca="1" si="0"/>
        <v>110.82049195332092</v>
      </c>
      <c r="D31" s="205">
        <f t="shared" ca="1" si="0"/>
        <v>46.544631199969849</v>
      </c>
      <c r="E31" s="208">
        <f ca="1">D31*(1-'Homes - 2022'!P53)</f>
        <v>43.05532495440584</v>
      </c>
      <c r="F31" s="599">
        <f ca="1">(C31*(1-'Homes w PV'!K53))-(D31-E31)</f>
        <v>16.840512645892733</v>
      </c>
      <c r="G31" s="204">
        <f t="shared" ca="1" si="1"/>
        <v>109.45690839694656</v>
      </c>
      <c r="H31" s="205">
        <f t="shared" ca="1" si="1"/>
        <v>51.875379434216434</v>
      </c>
      <c r="I31" s="204">
        <f t="shared" ca="1" si="1"/>
        <v>56.839355229194489</v>
      </c>
      <c r="J31" s="205">
        <f t="shared" ca="1" si="1"/>
        <v>38.508270004450388</v>
      </c>
      <c r="K31" s="204">
        <f t="shared" ca="1" si="1"/>
        <v>60.737004284161387</v>
      </c>
      <c r="L31" s="205">
        <f t="shared" ca="1" si="1"/>
        <v>42.26843865802762</v>
      </c>
      <c r="M31" s="204">
        <f t="shared" ca="1" si="1"/>
        <v>71.433457247431534</v>
      </c>
      <c r="N31" s="205">
        <f t="shared" ca="1" si="1"/>
        <v>48.425827353536853</v>
      </c>
      <c r="O31" s="204">
        <f t="shared" ca="1" si="1"/>
        <v>72.336791055145781</v>
      </c>
      <c r="P31" s="205">
        <f t="shared" ca="1" si="1"/>
        <v>49.906021842744757</v>
      </c>
      <c r="Q31" s="204">
        <f t="shared" ca="1" si="1"/>
        <v>75.100329007791899</v>
      </c>
      <c r="R31" s="427">
        <f t="shared" ca="1" si="1"/>
        <v>49.332346893741956</v>
      </c>
      <c r="S31" s="606">
        <f ca="1">OFFSET($AA31,0,(6+8*S$22))</f>
        <v>3.3000489572785487</v>
      </c>
      <c r="U31" s="613">
        <f>AB31+AC31+AR31+AS31+BH31+BI31+BX31+BY31+CN31+CO31+DD31+DE31+DT31+DU31</f>
        <v>40967134.260000005</v>
      </c>
      <c r="V31" s="614">
        <f>AJ31+AK31+AZ31+BA31+BP31+BQ31+CF31+CG31+CV31+CW31+DL31+DM31+EB31+EC31+EJ31</f>
        <v>22087932.903170768</v>
      </c>
      <c r="W31" s="626">
        <f ca="1">E31*('Neighborhood Inputs'!D28)+AZ31+BA31+BP31+BQ31+CF31+CG31+CV31+CW31+DL31+DM31+EB31+EC31+EJ31</f>
        <v>21322217.104405042</v>
      </c>
      <c r="X31" s="626">
        <f ca="1">F31*('Neighborhood Inputs'!D28)+AZ31+BA31+BP31+BQ31+CF31+CG31+CV31+CW31+DL31+DM31+EB31+EC31+EJ31</f>
        <v>15569470.130181782</v>
      </c>
      <c r="Y31" s="612"/>
      <c r="AA31" s="93" t="s">
        <v>118</v>
      </c>
      <c r="AB31" s="16">
        <f>SUM(AB24:AB30)</f>
        <v>5751695.8399999999</v>
      </c>
      <c r="AC31" s="16">
        <f>SUM(AC24:AC30)</f>
        <v>18567465.490000002</v>
      </c>
      <c r="AD31" s="16">
        <f>SUM(AD24:AD30)</f>
        <v>0</v>
      </c>
      <c r="AE31" s="16">
        <f>SUM(AE24:AE30)</f>
        <v>0</v>
      </c>
      <c r="AF31" s="16">
        <f>SUM(AF24:AF30)</f>
        <v>0</v>
      </c>
      <c r="AG31" s="71">
        <f>SUM(AB31:AF31)/'Neighborhood Inputs'!$D$28</f>
        <v>110.82049195332092</v>
      </c>
      <c r="AH31" s="185"/>
      <c r="AI31" s="93" t="s">
        <v>118</v>
      </c>
      <c r="AJ31" s="16">
        <f>SUM(AJ24:AJ30)</f>
        <v>7750273.0624999991</v>
      </c>
      <c r="AK31" s="16">
        <f>SUM(AK24:AK30)</f>
        <v>2463780.09</v>
      </c>
      <c r="AL31" s="16">
        <f>SUM(AL24:AL30)</f>
        <v>0</v>
      </c>
      <c r="AM31" s="16">
        <f>SUM(AM24:AM30)</f>
        <v>0</v>
      </c>
      <c r="AN31" s="16">
        <f>SUM(AN24:AN30)</f>
        <v>0</v>
      </c>
      <c r="AO31" s="71">
        <f>SUM(AJ31:AN31)/'Neighborhood Inputs'!$D$28</f>
        <v>46.544631199969849</v>
      </c>
      <c r="AP31" s="99"/>
      <c r="AQ31" s="93" t="s">
        <v>118</v>
      </c>
      <c r="AR31" s="16">
        <f>SUM(AR24:AR30)</f>
        <v>159263.72</v>
      </c>
      <c r="AS31" s="16">
        <f>SUM(AS24:AS30)</f>
        <v>328257.34999999998</v>
      </c>
      <c r="AT31" s="16">
        <f>SUM(AT24:AT30)</f>
        <v>0</v>
      </c>
      <c r="AU31" s="16">
        <f>SUM(AU24:AU30)</f>
        <v>0</v>
      </c>
      <c r="AV31" s="16">
        <f>SUM(AV24:AV30)</f>
        <v>0</v>
      </c>
      <c r="AW31" s="71">
        <f>SUM(AR31:AV31)/'Neighborhood Inputs'!$E$28</f>
        <v>109.45690839694656</v>
      </c>
      <c r="AX31" s="172"/>
      <c r="AY31" s="93" t="s">
        <v>118</v>
      </c>
      <c r="AZ31" s="16">
        <f>SUM(AZ24:AZ30)</f>
        <v>218095.76</v>
      </c>
      <c r="BA31" s="16">
        <f>SUM(BA24:BA30)</f>
        <v>12957.18</v>
      </c>
      <c r="BB31" s="16">
        <f>SUM(BB24:BB30)</f>
        <v>0</v>
      </c>
      <c r="BC31" s="16">
        <f>SUM(BC24:BC30)</f>
        <v>0</v>
      </c>
      <c r="BD31" s="16">
        <f>SUM(BD24:BD30)</f>
        <v>0</v>
      </c>
      <c r="BE31" s="71">
        <f>SUM(AZ31:BD31)/'Neighborhood Inputs'!$E$28</f>
        <v>51.875379434216434</v>
      </c>
      <c r="BF31" s="46"/>
      <c r="BG31" s="93" t="s">
        <v>118</v>
      </c>
      <c r="BH31" s="16">
        <f>SUM(BH24:BH30)</f>
        <v>1282945.47</v>
      </c>
      <c r="BI31" s="16">
        <f>SUM(BI24:BI30)</f>
        <v>1910005.31</v>
      </c>
      <c r="BJ31" s="16">
        <f>SUM(BJ24:BJ30)</f>
        <v>0</v>
      </c>
      <c r="BK31" s="16">
        <f>SUM(BK24:BK30)</f>
        <v>0</v>
      </c>
      <c r="BL31" s="16">
        <f>SUM(BL24:BL30)</f>
        <v>0</v>
      </c>
      <c r="BM31" s="71">
        <f>SUM(BH31:BL31)/'Neighborhood Inputs'!$F$28</f>
        <v>56.839355229194489</v>
      </c>
      <c r="BN31" s="172"/>
      <c r="BO31" s="93" t="s">
        <v>118</v>
      </c>
      <c r="BP31" s="16">
        <f>SUM(BP24:BP30)</f>
        <v>1947365.8375000001</v>
      </c>
      <c r="BQ31" s="16">
        <f>SUM(BQ24:BQ30)</f>
        <v>215836.23</v>
      </c>
      <c r="BR31" s="16">
        <f>SUM(BR24:BR30)</f>
        <v>0</v>
      </c>
      <c r="BS31" s="16">
        <f>SUM(BS24:BS30)</f>
        <v>0</v>
      </c>
      <c r="BT31" s="16">
        <f>SUM(BT24:BT30)</f>
        <v>0</v>
      </c>
      <c r="BU31" s="71">
        <f>SUM(BP31:BT31)/'Neighborhood Inputs'!$F$28</f>
        <v>38.508270004450388</v>
      </c>
      <c r="BV31" s="172"/>
      <c r="BW31" s="93" t="s">
        <v>118</v>
      </c>
      <c r="BX31" s="16">
        <f>SUM(BX24:BX30)</f>
        <v>774302.40999999992</v>
      </c>
      <c r="BY31" s="16">
        <f>SUM(BY24:BY30)</f>
        <v>1125429.6099999999</v>
      </c>
      <c r="BZ31" s="16">
        <f>SUM(BZ24:BZ30)</f>
        <v>0</v>
      </c>
      <c r="CA31" s="16">
        <f>SUM(CA24:CA30)</f>
        <v>0</v>
      </c>
      <c r="CB31" s="16">
        <f>SUM(CB24:CB30)</f>
        <v>0</v>
      </c>
      <c r="CC31" s="71">
        <f>SUM(BX31:CB31)/'Neighborhood Inputs'!$G$28</f>
        <v>60.737004284161387</v>
      </c>
      <c r="CE31" s="93" t="s">
        <v>118</v>
      </c>
      <c r="CF31" s="16">
        <f>SUM(CF24:CF30)</f>
        <v>1159652.8343457878</v>
      </c>
      <c r="CG31" s="16">
        <f>SUM(CG24:CG30)</f>
        <v>162419.39000000001</v>
      </c>
      <c r="CH31" s="16">
        <f>SUM(CH24:CH30)</f>
        <v>0</v>
      </c>
      <c r="CI31" s="16">
        <f>SUM(CI24:CI30)</f>
        <v>0</v>
      </c>
      <c r="CJ31" s="16">
        <f>SUM(CJ24:CJ30)</f>
        <v>0</v>
      </c>
      <c r="CK31" s="71">
        <f>SUM(CF31:CJ31)/'Neighborhood Inputs'!$G$28</f>
        <v>42.26843865802762</v>
      </c>
      <c r="CM31" s="93" t="s">
        <v>118</v>
      </c>
      <c r="CN31" s="16">
        <f>SUM(CN24:CN30)</f>
        <v>1310484.27</v>
      </c>
      <c r="CO31" s="16">
        <f>SUM(CO24:CO30)</f>
        <v>1605713.76</v>
      </c>
      <c r="CP31" s="16">
        <f>SUM(CP24:CP30)</f>
        <v>0</v>
      </c>
      <c r="CQ31" s="16">
        <f>SUM(CQ24:CQ30)</f>
        <v>0</v>
      </c>
      <c r="CR31" s="16">
        <f>SUM(CR24:CR30)</f>
        <v>0</v>
      </c>
      <c r="CS31" s="71">
        <f>SUM(CN31:CR31)/'Neighborhood Inputs'!$H$28</f>
        <v>71.433457247431534</v>
      </c>
      <c r="CU31" s="93" t="s">
        <v>118</v>
      </c>
      <c r="CV31" s="16">
        <f>SUM(CV24:CV30)</f>
        <v>1773088.5973642417</v>
      </c>
      <c r="CW31" s="16">
        <f>SUM(CW24:CW30)</f>
        <v>203846.41</v>
      </c>
      <c r="CX31" s="16">
        <f>SUM(CX24:CX30)</f>
        <v>0</v>
      </c>
      <c r="CY31" s="16">
        <f>SUM(CY24:CY30)</f>
        <v>0</v>
      </c>
      <c r="CZ31" s="16">
        <f>SUM(CZ24:CZ30)</f>
        <v>0</v>
      </c>
      <c r="DA31" s="71">
        <f>SUM(CV31:CZ31)/'Neighborhood Inputs'!$H$28</f>
        <v>48.425827353536853</v>
      </c>
      <c r="DC31" s="93" t="s">
        <v>118</v>
      </c>
      <c r="DD31" s="16">
        <f>SUM(DD24:DD30)</f>
        <v>1618660.2</v>
      </c>
      <c r="DE31" s="16">
        <f>SUM(DE24:DE30)</f>
        <v>1463188.02</v>
      </c>
      <c r="DF31" s="16">
        <f>SUM(DF24:DF30)</f>
        <v>0</v>
      </c>
      <c r="DG31" s="16">
        <f>SUM(DG24:DG30)</f>
        <v>0</v>
      </c>
      <c r="DH31" s="16">
        <f>SUM(DH24:DH30)</f>
        <v>0</v>
      </c>
      <c r="DI31" s="71">
        <f>SUM(DD31:DH31)/'Neighborhood Inputs'!$I$28</f>
        <v>72.336791055145781</v>
      </c>
      <c r="DK31" s="93" t="s">
        <v>118</v>
      </c>
      <c r="DL31" s="16">
        <f>SUM(DL24:DL30)</f>
        <v>1912974.119551793</v>
      </c>
      <c r="DM31" s="16">
        <f>SUM(DM24:DM30)</f>
        <v>213230.02</v>
      </c>
      <c r="DN31" s="16">
        <f>SUM(DN24:DN30)</f>
        <v>0</v>
      </c>
      <c r="DO31" s="16">
        <f>SUM(DO24:DO30)</f>
        <v>0</v>
      </c>
      <c r="DP31" s="16">
        <f>SUM(DP24:DP30)</f>
        <v>0</v>
      </c>
      <c r="DQ31" s="71">
        <f>SUM(DL31:DP31)/'Neighborhood Inputs'!$I$28</f>
        <v>49.906021842744757</v>
      </c>
      <c r="DS31" s="93" t="s">
        <v>118</v>
      </c>
      <c r="DT31" s="16">
        <f>SUM(DT24:DT30)</f>
        <v>2323455.9299999997</v>
      </c>
      <c r="DU31" s="16">
        <f>SUM(DU24:DU30)</f>
        <v>2746266.88</v>
      </c>
      <c r="DV31" s="16">
        <f>SUM(DV24:DV30)</f>
        <v>0</v>
      </c>
      <c r="DW31" s="16">
        <f>SUM(DW24:DW30)</f>
        <v>0</v>
      </c>
      <c r="DX31" s="16">
        <f>SUM(DX24:DX30)</f>
        <v>0</v>
      </c>
      <c r="DY31" s="71">
        <f>SUM(DT31:DX31)/'Neighborhood Inputs'!$J$28</f>
        <v>75.100329007791899</v>
      </c>
      <c r="EA31" s="93" t="s">
        <v>118</v>
      </c>
      <c r="EB31" s="16">
        <f>SUM(EB24:EB30)</f>
        <v>2994567.4894089447</v>
      </c>
      <c r="EC31" s="16">
        <f>SUM(EC24:EC30)</f>
        <v>335661.92</v>
      </c>
      <c r="ED31" s="16">
        <f>SUM(ED24:ED30)</f>
        <v>0</v>
      </c>
      <c r="EE31" s="16">
        <f>SUM(EE24:EE30)</f>
        <v>0</v>
      </c>
      <c r="EF31" s="16">
        <f>SUM(EF24:EF30)</f>
        <v>0</v>
      </c>
      <c r="EG31" s="71">
        <f>SUM(EB31:EF31)/'Neighborhood Inputs'!$J$28</f>
        <v>49.332346893741956</v>
      </c>
      <c r="EI31" s="93" t="s">
        <v>118</v>
      </c>
      <c r="EJ31" s="16">
        <f>SUM(EJ24:EJ30)</f>
        <v>724183.96250000002</v>
      </c>
      <c r="EK31" s="16">
        <f>SUM(EK24:EK30)</f>
        <v>0</v>
      </c>
      <c r="EL31" s="16">
        <f>SUM(EL24:EL30)</f>
        <v>0</v>
      </c>
      <c r="EM31" s="16">
        <f>SUM(EM24:EM30)</f>
        <v>0</v>
      </c>
      <c r="EN31" s="16">
        <f>SUM(EN24:EN30)</f>
        <v>0</v>
      </c>
      <c r="EO31" s="71">
        <f>SUM(EJ31:EN31)/'Neighborhood Inputs'!$D$28</f>
        <v>3.3000489572785487</v>
      </c>
    </row>
    <row r="32" spans="2:145" ht="12.9" thickBot="1" x14ac:dyDescent="0.35">
      <c r="C32" s="656" t="s">
        <v>119</v>
      </c>
      <c r="D32" s="104">
        <f ca="1">$C$31-D31</f>
        <v>64.275860753351083</v>
      </c>
      <c r="E32" s="104">
        <f ca="1">$C$31-E31</f>
        <v>67.765166998915078</v>
      </c>
      <c r="F32" s="104">
        <f ca="1">$C$31-F31</f>
        <v>93.979979307428195</v>
      </c>
      <c r="G32" s="656" t="s">
        <v>119</v>
      </c>
      <c r="H32" s="104">
        <f ca="1">$G$31-H31</f>
        <v>57.581528962730125</v>
      </c>
      <c r="I32" s="656" t="s">
        <v>119</v>
      </c>
      <c r="J32" s="104">
        <f ca="1">$I$31-J31</f>
        <v>18.331085224744101</v>
      </c>
      <c r="K32" s="656" t="s">
        <v>119</v>
      </c>
      <c r="L32" s="104">
        <f ca="1">$K$31-L31</f>
        <v>18.468565626133767</v>
      </c>
      <c r="M32" s="656" t="s">
        <v>119</v>
      </c>
      <c r="N32" s="104">
        <f ca="1">$M$31-N31</f>
        <v>23.007629893894681</v>
      </c>
      <c r="O32" s="656" t="s">
        <v>119</v>
      </c>
      <c r="P32" s="104">
        <f ca="1">$O$31-P31</f>
        <v>22.430769212401025</v>
      </c>
      <c r="Q32" s="656" t="s">
        <v>119</v>
      </c>
      <c r="R32" s="104">
        <f ca="1">$Q$31-R31</f>
        <v>25.767982114049943</v>
      </c>
      <c r="S32" s="605"/>
      <c r="T32" s="181"/>
      <c r="U32" s="778" t="s">
        <v>119</v>
      </c>
      <c r="V32" s="615">
        <f>U31-V31</f>
        <v>18879201.356829237</v>
      </c>
      <c r="W32" s="9">
        <f ca="1">U31-W31</f>
        <v>19644917.155594964</v>
      </c>
      <c r="X32" s="9">
        <f ca="1">U31-X31</f>
        <v>25397664.129818223</v>
      </c>
      <c r="Y32" s="622"/>
      <c r="AB32" s="178"/>
      <c r="AC32" s="172"/>
      <c r="AG32" s="46"/>
      <c r="AK32" s="172"/>
      <c r="AO32" s="46"/>
      <c r="AP32" s="181"/>
      <c r="AX32" s="172"/>
      <c r="BB32" s="46"/>
      <c r="BF32" s="172"/>
      <c r="BJ32" s="46"/>
      <c r="BN32" s="172"/>
      <c r="BR32" s="46"/>
      <c r="BV32" s="172"/>
      <c r="BZ32" s="46"/>
      <c r="CA32" s="181"/>
      <c r="CX32" s="306"/>
      <c r="DF32" s="306"/>
      <c r="DN32" s="306"/>
      <c r="DV32" s="306"/>
      <c r="EG32" s="306"/>
    </row>
    <row r="33" spans="2:145" ht="12.9" thickBot="1" x14ac:dyDescent="0.35">
      <c r="B33" s="20"/>
      <c r="C33" s="657"/>
      <c r="D33" s="127">
        <f t="shared" ref="D33:E33" ca="1" si="2">1-D31/$C$31</f>
        <v>0.57999977820370019</v>
      </c>
      <c r="E33" s="127">
        <f t="shared" ca="1" si="2"/>
        <v>0.61148588861578668</v>
      </c>
      <c r="F33" s="127">
        <f ca="1">1-F31/$C$31</f>
        <v>0.84803791835731801</v>
      </c>
      <c r="G33" s="657"/>
      <c r="H33" s="127">
        <f ca="1">1-H31/$G$31</f>
        <v>0.52606573496402931</v>
      </c>
      <c r="I33" s="657"/>
      <c r="J33" s="127">
        <f ca="1">1-J31/$I$31</f>
        <v>0.32250691709691803</v>
      </c>
      <c r="K33" s="657"/>
      <c r="L33" s="127">
        <f ca="1">1-L31/$K$31</f>
        <v>0.30407435868465915</v>
      </c>
      <c r="M33" s="657"/>
      <c r="N33" s="127">
        <f ca="1">1-N31/$M$31</f>
        <v>0.32208478744351887</v>
      </c>
      <c r="O33" s="657"/>
      <c r="P33" s="127">
        <f ca="1">1-P31/$O$31</f>
        <v>0.31008797715813774</v>
      </c>
      <c r="Q33" s="657"/>
      <c r="R33" s="127">
        <f ca="1">1-R31/$Q$31</f>
        <v>0.3431141042188568</v>
      </c>
      <c r="S33" s="607"/>
      <c r="U33" s="779"/>
      <c r="V33" s="616">
        <f>1-(V31/U31)</f>
        <v>0.46083773487819346</v>
      </c>
      <c r="W33" s="627">
        <f ca="1">1-(W31/U31)</f>
        <v>0.47952871272170261</v>
      </c>
      <c r="X33" s="628">
        <f ca="1">1-(X31/U31)</f>
        <v>0.61995217846165795</v>
      </c>
      <c r="Y33" s="623"/>
      <c r="AC33" s="172"/>
      <c r="AG33" s="46"/>
      <c r="AK33" s="172"/>
      <c r="AO33" s="46"/>
      <c r="AP33" s="181"/>
      <c r="AS33" s="172"/>
      <c r="AW33" s="46"/>
      <c r="AX33" s="181"/>
      <c r="BA33" s="172"/>
      <c r="BE33" s="46"/>
      <c r="BI33" s="172"/>
      <c r="BM33" s="46"/>
      <c r="BQ33" s="172"/>
      <c r="BU33" s="46"/>
      <c r="BV33" s="181"/>
      <c r="CL33" s="46"/>
    </row>
    <row r="34" spans="2:145" ht="12.9" thickBot="1" x14ac:dyDescent="0.35">
      <c r="D34" s="20"/>
      <c r="E34" s="20"/>
      <c r="F34" s="20"/>
    </row>
    <row r="35" spans="2:145" x14ac:dyDescent="0.3">
      <c r="B35" s="197" t="s">
        <v>89</v>
      </c>
      <c r="C35" s="214">
        <f t="shared" ref="C35:D42" ca="1" si="3">OFFSET($AA35,0,(6+8*C$22))</f>
        <v>36172.469482869688</v>
      </c>
      <c r="D35" s="108">
        <f t="shared" ca="1" si="3"/>
        <v>36172.469482869688</v>
      </c>
      <c r="E35" s="221"/>
      <c r="F35" s="221"/>
      <c r="G35" s="214">
        <f t="shared" ref="G35:R35" ca="1" si="4">OFFSET($AA35,0,(6+8*G$22))</f>
        <v>1356.3339385065885</v>
      </c>
      <c r="H35" s="108">
        <f t="shared" ca="1" si="4"/>
        <v>1356.3339385065885</v>
      </c>
      <c r="I35" s="214">
        <f t="shared" ca="1" si="4"/>
        <v>17708.968923572473</v>
      </c>
      <c r="J35" s="108">
        <f t="shared" ca="1" si="4"/>
        <v>17708.968923572473</v>
      </c>
      <c r="K35" s="214">
        <f t="shared" ca="1" si="4"/>
        <v>8527.0270875549049</v>
      </c>
      <c r="L35" s="108">
        <f t="shared" ca="1" si="4"/>
        <v>8527.0270875549049</v>
      </c>
      <c r="M35" s="214">
        <f t="shared" ca="1" si="4"/>
        <v>8786.2815595900429</v>
      </c>
      <c r="N35" s="108">
        <f t="shared" ca="1" si="4"/>
        <v>8786.2815595900429</v>
      </c>
      <c r="O35" s="214">
        <f t="shared" ca="1" si="4"/>
        <v>9169.4168907759886</v>
      </c>
      <c r="P35" s="108">
        <f t="shared" ca="1" si="4"/>
        <v>9169.4168907759886</v>
      </c>
      <c r="Q35" s="214">
        <f t="shared" ca="1" si="4"/>
        <v>14529.005803806735</v>
      </c>
      <c r="R35" s="108">
        <f t="shared" ca="1" si="4"/>
        <v>14529.005803806735</v>
      </c>
      <c r="S35" s="480"/>
      <c r="U35" s="487"/>
      <c r="V35" s="617"/>
      <c r="W35" s="590"/>
      <c r="X35" s="619"/>
      <c r="Y35" s="590"/>
      <c r="AA35" s="21" t="s">
        <v>89</v>
      </c>
      <c r="AB35" s="63">
        <f>VLOOKUP(AB$23,'Neighborhood Inputs'!$C$35:$D$39,2,FALSE)*AB24</f>
        <v>36172.469482869688</v>
      </c>
      <c r="AC35" s="63">
        <f>VLOOKUP(AC$23,'Neighborhood Inputs'!$C$35:$D$39,2,FALSE)*AC24</f>
        <v>0</v>
      </c>
      <c r="AD35" s="63">
        <f>VLOOKUP(AD$23,'Neighborhood Inputs'!$C$35:$D$39,2,FALSE)*AD24</f>
        <v>0</v>
      </c>
      <c r="AE35" s="63">
        <f>VLOOKUP(AE$23,'Neighborhood Inputs'!$C$35:$D$39,2,FALSE)*AE24</f>
        <v>0</v>
      </c>
      <c r="AF35" s="63">
        <f>VLOOKUP(AF$23,'Neighborhood Inputs'!$C$35:$D$39,2,FALSE)*AF24</f>
        <v>0</v>
      </c>
      <c r="AG35" s="72">
        <f>SUMIF(AB35:AF35,"&lt;&gt;#N/A")</f>
        <v>36172.469482869688</v>
      </c>
      <c r="AI35" s="21" t="s">
        <v>89</v>
      </c>
      <c r="AJ35" s="63">
        <f>VLOOKUP(AJ$23,'Neighborhood Inputs'!$C$35:$D$39,2,FALSE)*AJ24</f>
        <v>36172.469482869688</v>
      </c>
      <c r="AK35" s="63">
        <f>VLOOKUP(AK$23,'Neighborhood Inputs'!$C$35:$D$39,2,FALSE)*AK24</f>
        <v>0</v>
      </c>
      <c r="AL35" s="63">
        <f>VLOOKUP(AL$23,'Neighborhood Inputs'!$C$35:$D$39,2,FALSE)*AL24</f>
        <v>0</v>
      </c>
      <c r="AM35" s="63">
        <f>VLOOKUP(AM$23,'Neighborhood Inputs'!$C$35:$D$39,2,FALSE)*AM24</f>
        <v>0</v>
      </c>
      <c r="AN35" s="63">
        <f>VLOOKUP(AN$23,'Neighborhood Inputs'!$C$35:$D$39,2,FALSE)*AN24</f>
        <v>0</v>
      </c>
      <c r="AO35" s="72">
        <f>SUMIF(AJ35:AN35,"&lt;&gt;#N/A")</f>
        <v>36172.469482869688</v>
      </c>
      <c r="AQ35" s="21" t="s">
        <v>89</v>
      </c>
      <c r="AR35" s="63">
        <f>'Neighborhood Inputs'!$H$35*AR24</f>
        <v>1356.3339385065885</v>
      </c>
      <c r="AS35" s="63">
        <f>'Neighborhood Inputs'!$H$36*AS24</f>
        <v>0</v>
      </c>
      <c r="AT35" s="63">
        <f>VLOOKUP(AT$23,'Neighborhood Inputs'!$C$35:$D$39,2,FALSE)*AT24</f>
        <v>0</v>
      </c>
      <c r="AU35" s="63">
        <f>VLOOKUP(AU$23,'Neighborhood Inputs'!$C$35:$D$39,2,FALSE)*AU24</f>
        <v>0</v>
      </c>
      <c r="AV35" s="63">
        <f>VLOOKUP(AV$23,'Neighborhood Inputs'!$C$35:$D$39,2,FALSE)*AV24</f>
        <v>0</v>
      </c>
      <c r="AW35" s="72">
        <f>SUMIF(AR35:AV35,"&lt;&gt;#N/A")</f>
        <v>1356.3339385065885</v>
      </c>
      <c r="AY35" s="21" t="s">
        <v>89</v>
      </c>
      <c r="AZ35" s="63">
        <f>'Neighborhood Inputs'!$H$35*AZ24</f>
        <v>1356.3339385065885</v>
      </c>
      <c r="BA35" s="63">
        <f>'Neighborhood Inputs'!$H$36*BA24</f>
        <v>0</v>
      </c>
      <c r="BB35" s="63">
        <f>VLOOKUP(BB$23,'Neighborhood Inputs'!$C$35:$D$39,2,FALSE)*BB24</f>
        <v>0</v>
      </c>
      <c r="BC35" s="63">
        <f>VLOOKUP(BC$23,'Neighborhood Inputs'!$C$35:$D$39,2,FALSE)*BC24</f>
        <v>0</v>
      </c>
      <c r="BD35" s="63">
        <f>VLOOKUP(BD$23,'Neighborhood Inputs'!$C$35:$D$39,2,FALSE)*BD24</f>
        <v>0</v>
      </c>
      <c r="BE35" s="72">
        <f>SUMIF(AZ35:BD35,"&lt;&gt;#N/A")</f>
        <v>1356.3339385065885</v>
      </c>
      <c r="BG35" s="21" t="s">
        <v>89</v>
      </c>
      <c r="BH35" s="63">
        <f>'Neighborhood Inputs'!$H$35*BH24</f>
        <v>17708.968923572473</v>
      </c>
      <c r="BI35" s="63">
        <f>'Neighborhood Inputs'!$H$36*BI24</f>
        <v>0</v>
      </c>
      <c r="BJ35" s="63">
        <f>VLOOKUP(BJ$23,'Neighborhood Inputs'!$C$35:$D$39,2,FALSE)*BJ24</f>
        <v>0</v>
      </c>
      <c r="BK35" s="63">
        <f>VLOOKUP(BK$23,'Neighborhood Inputs'!$C$35:$D$39,2,FALSE)*BK24</f>
        <v>0</v>
      </c>
      <c r="BL35" s="63">
        <f>VLOOKUP(BL$23,'Neighborhood Inputs'!$C$35:$D$39,2,FALSE)*BL24</f>
        <v>0</v>
      </c>
      <c r="BM35" s="72">
        <f>SUMIF(BH35:BL35,"&lt;&gt;#N/A")</f>
        <v>17708.968923572473</v>
      </c>
      <c r="BO35" s="21" t="s">
        <v>89</v>
      </c>
      <c r="BP35" s="63">
        <f>'Neighborhood Inputs'!$H$35*BP24</f>
        <v>17708.968923572473</v>
      </c>
      <c r="BQ35" s="63">
        <f>'Neighborhood Inputs'!$H$36*BQ24</f>
        <v>0</v>
      </c>
      <c r="BR35" s="63">
        <f>VLOOKUP(BR$23,'Neighborhood Inputs'!$C$35:$D$39,2,FALSE)*BR24</f>
        <v>0</v>
      </c>
      <c r="BS35" s="63">
        <f>VLOOKUP(BS$23,'Neighborhood Inputs'!$C$35:$D$39,2,FALSE)*BS24</f>
        <v>0</v>
      </c>
      <c r="BT35" s="63">
        <f>VLOOKUP(BT$23,'Neighborhood Inputs'!$C$35:$D$39,2,FALSE)*BT24</f>
        <v>0</v>
      </c>
      <c r="BU35" s="72">
        <f>SUMIF(BP35:BT35,"&lt;&gt;#N/A")</f>
        <v>17708.968923572473</v>
      </c>
      <c r="BW35" s="21" t="s">
        <v>89</v>
      </c>
      <c r="BX35" s="63">
        <f>'Neighborhood Inputs'!$H$35*BX24</f>
        <v>8527.0270875549049</v>
      </c>
      <c r="BY35" s="63">
        <f>'Neighborhood Inputs'!$H$36*BY24</f>
        <v>0</v>
      </c>
      <c r="BZ35" s="63">
        <f>VLOOKUP(BZ$23,'Neighborhood Inputs'!$C$35:$D$39,2,FALSE)*BZ24</f>
        <v>0</v>
      </c>
      <c r="CA35" s="63">
        <f>VLOOKUP(CA$23,'Neighborhood Inputs'!$C$35:$D$39,2,FALSE)*CA24</f>
        <v>0</v>
      </c>
      <c r="CB35" s="63">
        <f>VLOOKUP(CB$23,'Neighborhood Inputs'!$C$35:$D$39,2,FALSE)*CB24</f>
        <v>0</v>
      </c>
      <c r="CC35" s="72">
        <f>SUMIF(BX35:CB35,"&lt;&gt;#N/A")</f>
        <v>8527.0270875549049</v>
      </c>
      <c r="CE35" s="21" t="s">
        <v>89</v>
      </c>
      <c r="CF35" s="63">
        <f>'Neighborhood Inputs'!$H$35*CF24</f>
        <v>8527.0270875549049</v>
      </c>
      <c r="CG35" s="63">
        <f>'Neighborhood Inputs'!$H$36*CG24</f>
        <v>0</v>
      </c>
      <c r="CH35" s="63">
        <f>VLOOKUP(CH$23,'Neighborhood Inputs'!$C$35:$D$39,2,FALSE)*CH24</f>
        <v>0</v>
      </c>
      <c r="CI35" s="63">
        <f>VLOOKUP(CI$23,'Neighborhood Inputs'!$C$35:$D$39,2,FALSE)*CI24</f>
        <v>0</v>
      </c>
      <c r="CJ35" s="63">
        <f>VLOOKUP(CJ$23,'Neighborhood Inputs'!$C$35:$D$39,2,FALSE)*CJ24</f>
        <v>0</v>
      </c>
      <c r="CK35" s="72">
        <f>SUMIF(CF35:CJ35,"&lt;&gt;#N/A")</f>
        <v>8527.0270875549049</v>
      </c>
      <c r="CM35" s="21" t="s">
        <v>89</v>
      </c>
      <c r="CN35" s="63">
        <f>'Neighborhood Inputs'!$H$35*CN24</f>
        <v>8786.2815595900429</v>
      </c>
      <c r="CO35" s="63">
        <f>'Neighborhood Inputs'!$H$36*CO24</f>
        <v>0</v>
      </c>
      <c r="CP35" s="63">
        <f>VLOOKUP(CP$23,'Neighborhood Inputs'!$C$35:$D$39,2,FALSE)*CP24</f>
        <v>0</v>
      </c>
      <c r="CQ35" s="63">
        <f>VLOOKUP(CQ$23,'Neighborhood Inputs'!$C$35:$D$39,2,FALSE)*CQ24</f>
        <v>0</v>
      </c>
      <c r="CR35" s="63">
        <f>VLOOKUP(CR$23,'Neighborhood Inputs'!$C$35:$D$39,2,FALSE)*CR24</f>
        <v>0</v>
      </c>
      <c r="CS35" s="72">
        <f>SUMIF(CN35:CR35,"&lt;&gt;#N/A")</f>
        <v>8786.2815595900429</v>
      </c>
      <c r="CU35" s="21" t="s">
        <v>89</v>
      </c>
      <c r="CV35" s="63">
        <f>'Neighborhood Inputs'!$H$35*CV24</f>
        <v>8786.2815595900429</v>
      </c>
      <c r="CW35" s="63">
        <f>'Neighborhood Inputs'!$H$36*CW24</f>
        <v>0</v>
      </c>
      <c r="CX35" s="63">
        <f>VLOOKUP(CX$23,'Neighborhood Inputs'!$C$35:$D$39,2,FALSE)*CX24</f>
        <v>0</v>
      </c>
      <c r="CY35" s="63">
        <f>VLOOKUP(CY$23,'Neighborhood Inputs'!$C$35:$D$39,2,FALSE)*CY24</f>
        <v>0</v>
      </c>
      <c r="CZ35" s="63">
        <f>VLOOKUP(CZ$23,'Neighborhood Inputs'!$C$35:$D$39,2,FALSE)*CZ24</f>
        <v>0</v>
      </c>
      <c r="DA35" s="72">
        <f>SUMIF(CV35:CZ35,"&lt;&gt;#N/A")</f>
        <v>8786.2815595900429</v>
      </c>
      <c r="DC35" s="21" t="s">
        <v>89</v>
      </c>
      <c r="DD35" s="63">
        <f>'Neighborhood Inputs'!$H$35*DD24</f>
        <v>9169.4168907759886</v>
      </c>
      <c r="DE35" s="63">
        <f>'Neighborhood Inputs'!$H$36*DE24</f>
        <v>0</v>
      </c>
      <c r="DF35" s="63">
        <f>VLOOKUP(DF$23,'Neighborhood Inputs'!$C$35:$D$39,2,FALSE)*DF24</f>
        <v>0</v>
      </c>
      <c r="DG35" s="63">
        <f>VLOOKUP(DG$23,'Neighborhood Inputs'!$C$35:$D$39,2,FALSE)*DG24</f>
        <v>0</v>
      </c>
      <c r="DH35" s="63">
        <f>VLOOKUP(DH$23,'Neighborhood Inputs'!$C$35:$D$39,2,FALSE)*DH24</f>
        <v>0</v>
      </c>
      <c r="DI35" s="72">
        <f>SUMIF(DD35:DH35,"&lt;&gt;#N/A")</f>
        <v>9169.4168907759886</v>
      </c>
      <c r="DK35" s="21" t="s">
        <v>89</v>
      </c>
      <c r="DL35" s="63">
        <f>'Neighborhood Inputs'!$H$35*DL24</f>
        <v>9169.4168907759886</v>
      </c>
      <c r="DM35" s="63">
        <f>'Neighborhood Inputs'!$H$36*DM24</f>
        <v>0</v>
      </c>
      <c r="DN35" s="63">
        <f>VLOOKUP(DN$23,'Neighborhood Inputs'!$C$35:$D$39,2,FALSE)*DN24</f>
        <v>0</v>
      </c>
      <c r="DO35" s="63">
        <f>VLOOKUP(DO$23,'Neighborhood Inputs'!$C$35:$D$39,2,FALSE)*DO24</f>
        <v>0</v>
      </c>
      <c r="DP35" s="63">
        <f>VLOOKUP(DP$23,'Neighborhood Inputs'!$C$35:$D$39,2,FALSE)*DP24</f>
        <v>0</v>
      </c>
      <c r="DQ35" s="72">
        <f>SUMIF(DL35:DP35,"&lt;&gt;#N/A")</f>
        <v>9169.4168907759886</v>
      </c>
      <c r="DS35" s="21" t="s">
        <v>89</v>
      </c>
      <c r="DT35" s="63">
        <f>'Neighborhood Inputs'!$H$35*DT24</f>
        <v>14529.005803806735</v>
      </c>
      <c r="DU35" s="63">
        <f>'Neighborhood Inputs'!$H$36*DU24</f>
        <v>0</v>
      </c>
      <c r="DV35" s="63">
        <f>VLOOKUP(DV$23,'Neighborhood Inputs'!$C$35:$D$39,2,FALSE)*DV24</f>
        <v>0</v>
      </c>
      <c r="DW35" s="63">
        <f>VLOOKUP(DW$23,'Neighborhood Inputs'!$C$35:$D$39,2,FALSE)*DW24</f>
        <v>0</v>
      </c>
      <c r="DX35" s="63">
        <f>VLOOKUP(DX$23,'Neighborhood Inputs'!$C$35:$D$39,2,FALSE)*DX24</f>
        <v>0</v>
      </c>
      <c r="DY35" s="72">
        <f>SUMIF(DT35:DX35,"&lt;&gt;#N/A")</f>
        <v>14529.005803806735</v>
      </c>
      <c r="EA35" s="21" t="s">
        <v>89</v>
      </c>
      <c r="EB35" s="63">
        <f>'Neighborhood Inputs'!$H$35*EB24</f>
        <v>14529.005803806735</v>
      </c>
      <c r="EC35" s="63">
        <f>'Neighborhood Inputs'!$H$36*EC24</f>
        <v>0</v>
      </c>
      <c r="ED35" s="63">
        <f>VLOOKUP(ED$23,'Neighborhood Inputs'!$C$35:$D$39,2,FALSE)*ED24</f>
        <v>0</v>
      </c>
      <c r="EE35" s="63">
        <f>VLOOKUP(EE$23,'Neighborhood Inputs'!$C$35:$D$39,2,FALSE)*EE24</f>
        <v>0</v>
      </c>
      <c r="EF35" s="63">
        <f>VLOOKUP(EF$23,'Neighborhood Inputs'!$C$35:$D$39,2,FALSE)*EF24</f>
        <v>0</v>
      </c>
      <c r="EG35" s="72">
        <f>SUMIF(EB35:EF35,"&lt;&gt;#N/A")</f>
        <v>14529.005803806735</v>
      </c>
      <c r="EI35" s="21" t="s">
        <v>89</v>
      </c>
      <c r="EJ35" s="63">
        <f>'Neighborhood Inputs'!$D$35*EJ24</f>
        <v>0</v>
      </c>
      <c r="EK35" s="63">
        <f>'Neighborhood Inputs'!$D$36*EK24</f>
        <v>0</v>
      </c>
      <c r="EL35" s="63">
        <f>VLOOKUP(EL$23,'Neighborhood Inputs'!$C$35:$D$39,2,FALSE)*EL24</f>
        <v>0</v>
      </c>
      <c r="EM35" s="63">
        <f>VLOOKUP(EM$23,'Neighborhood Inputs'!$C$35:$D$39,2,FALSE)*EM24</f>
        <v>0</v>
      </c>
      <c r="EN35" s="63">
        <f>VLOOKUP(EN$23,'Neighborhood Inputs'!$C$35:$D$39,2,FALSE)*EN24</f>
        <v>0</v>
      </c>
      <c r="EO35" s="72">
        <f>SUMIF(EJ35:EN35,"&lt;&gt;#N/A")</f>
        <v>0</v>
      </c>
    </row>
    <row r="36" spans="2:145" x14ac:dyDescent="0.3">
      <c r="B36" s="197" t="s">
        <v>90</v>
      </c>
      <c r="C36" s="215">
        <f t="shared" ca="1" si="3"/>
        <v>127215.09726974953</v>
      </c>
      <c r="D36" s="216">
        <f t="shared" ca="1" si="3"/>
        <v>198019.47011654463</v>
      </c>
      <c r="E36" s="219"/>
      <c r="F36" s="219"/>
      <c r="G36" s="215">
        <f t="shared" ref="G36:L42" ca="1" si="5">OFFSET($AA36,0,(6+8*G$22))</f>
        <v>3064.7524569632496</v>
      </c>
      <c r="H36" s="216">
        <f t="shared" ca="1" si="5"/>
        <v>2339.6366389458271</v>
      </c>
      <c r="I36" s="215">
        <f t="shared" ca="1" si="5"/>
        <v>16466.125470986462</v>
      </c>
      <c r="J36" s="216">
        <f t="shared" ca="1" si="5"/>
        <v>21816.061123279651</v>
      </c>
      <c r="K36" s="215">
        <f t="shared" ca="1" si="5"/>
        <v>9360.0122930367506</v>
      </c>
      <c r="L36" s="216">
        <f t="shared" ca="1" si="5"/>
        <v>12401.132291827813</v>
      </c>
      <c r="M36" s="215">
        <f t="shared" ref="M36:M41" ca="1" si="6">OFFSET($AA36,0,(6+8*M$22))</f>
        <v>13627.998804214118</v>
      </c>
      <c r="N36" s="216">
        <f t="shared" ref="N36:R42" ca="1" si="7">OFFSET($AA36,0,(6+8*N$22))</f>
        <v>18052.500484308555</v>
      </c>
      <c r="O36" s="215">
        <f t="shared" ca="1" si="7"/>
        <v>12150.027281471266</v>
      </c>
      <c r="P36" s="216">
        <f t="shared" ca="1" si="7"/>
        <v>16097.308621277693</v>
      </c>
      <c r="Q36" s="215">
        <f t="shared" ca="1" si="7"/>
        <v>23429.961168278533</v>
      </c>
      <c r="R36" s="216">
        <f t="shared" ca="1" si="7"/>
        <v>31042.485730106058</v>
      </c>
      <c r="S36" s="481"/>
      <c r="U36" s="488"/>
      <c r="V36" s="618"/>
      <c r="W36" s="588"/>
      <c r="Y36" s="588"/>
      <c r="AA36" s="21" t="s">
        <v>90</v>
      </c>
      <c r="AB36" s="63">
        <f>VLOOKUP(AB$23,'Neighborhood Inputs'!$C$35:$D$39,2,FALSE)*AB25</f>
        <v>0</v>
      </c>
      <c r="AC36" s="63">
        <f>VLOOKUP(AC$23,'Neighborhood Inputs'!$C$35:$D$39,2,FALSE)*AC25</f>
        <v>127215.09726974953</v>
      </c>
      <c r="AD36" s="63">
        <f>VLOOKUP(AD$23,'Neighborhood Inputs'!$C$35:$D$39,2,FALSE)*AD25</f>
        <v>0</v>
      </c>
      <c r="AE36" s="63">
        <f>VLOOKUP(AE$23,'Neighborhood Inputs'!$C$35:$D$39,2,FALSE)*AE25</f>
        <v>0</v>
      </c>
      <c r="AF36" s="63">
        <f>VLOOKUP(AF$23,'Neighborhood Inputs'!$C$35:$D$39,2,FALSE)*AF25</f>
        <v>0</v>
      </c>
      <c r="AG36" s="72">
        <f t="shared" ref="AG36:AG42" si="8">SUMIF(AB36:AF36,"&lt;&gt;#N/A")</f>
        <v>127215.09726974953</v>
      </c>
      <c r="AI36" s="21" t="s">
        <v>90</v>
      </c>
      <c r="AJ36" s="63">
        <f>VLOOKUP(AJ$23,'Neighborhood Inputs'!$C$35:$D$39,2,FALSE)*AJ25</f>
        <v>198019.47011654463</v>
      </c>
      <c r="AK36" s="63">
        <f>VLOOKUP(AK$23,'Neighborhood Inputs'!$C$35:$D$39,2,FALSE)*AK25</f>
        <v>0</v>
      </c>
      <c r="AL36" s="63">
        <f>VLOOKUP(AL$23,'Neighborhood Inputs'!$C$35:$D$39,2,FALSE)*AL25</f>
        <v>0</v>
      </c>
      <c r="AM36" s="63">
        <f>VLOOKUP(AM$23,'Neighborhood Inputs'!$C$35:$D$39,2,FALSE)*AM25</f>
        <v>0</v>
      </c>
      <c r="AN36" s="63">
        <f>VLOOKUP(AN$23,'Neighborhood Inputs'!$C$35:$D$39,2,FALSE)*AN25</f>
        <v>0</v>
      </c>
      <c r="AO36" s="72">
        <f t="shared" ref="AO36:AO42" si="9">SUMIF(AJ36:AN36,"&lt;&gt;#N/A")</f>
        <v>198019.47011654463</v>
      </c>
      <c r="AQ36" s="21" t="s">
        <v>90</v>
      </c>
      <c r="AR36" s="63">
        <f>'Neighborhood Inputs'!$H$35*AR25</f>
        <v>0</v>
      </c>
      <c r="AS36" s="63">
        <f>'Neighborhood Inputs'!$H$36*AS25</f>
        <v>3064.7524569632496</v>
      </c>
      <c r="AT36" s="63">
        <f>VLOOKUP(AT$23,'Neighborhood Inputs'!$C$35:$D$39,2,FALSE)*AT25</f>
        <v>0</v>
      </c>
      <c r="AU36" s="63">
        <f>VLOOKUP(AU$23,'Neighborhood Inputs'!$C$35:$D$39,2,FALSE)*AU25</f>
        <v>0</v>
      </c>
      <c r="AV36" s="63">
        <f>VLOOKUP(AV$23,'Neighborhood Inputs'!$C$35:$D$39,2,FALSE)*AV25</f>
        <v>0</v>
      </c>
      <c r="AW36" s="72">
        <f t="shared" ref="AW36:AW42" si="10">SUMIF(AR36:AV36,"&lt;&gt;#N/A")</f>
        <v>3064.7524569632496</v>
      </c>
      <c r="AY36" s="21" t="s">
        <v>90</v>
      </c>
      <c r="AZ36" s="63">
        <f>'Neighborhood Inputs'!$H$35*AZ25</f>
        <v>2339.6366389458271</v>
      </c>
      <c r="BA36" s="63">
        <f>'Neighborhood Inputs'!$H$36*BA25</f>
        <v>0</v>
      </c>
      <c r="BB36" s="63">
        <f>VLOOKUP(BB$23,'Neighborhood Inputs'!$C$35:$D$39,2,FALSE)*BB25</f>
        <v>0</v>
      </c>
      <c r="BC36" s="63">
        <f>VLOOKUP(BC$23,'Neighborhood Inputs'!$C$35:$D$39,2,FALSE)*BC25</f>
        <v>0</v>
      </c>
      <c r="BD36" s="63">
        <f>VLOOKUP(BD$23,'Neighborhood Inputs'!$C$35:$D$39,2,FALSE)*BD25</f>
        <v>0</v>
      </c>
      <c r="BE36" s="72">
        <f t="shared" ref="BE36:BE42" si="11">SUMIF(AZ36:BD36,"&lt;&gt;#N/A")</f>
        <v>2339.6366389458271</v>
      </c>
      <c r="BG36" s="21" t="s">
        <v>90</v>
      </c>
      <c r="BH36" s="63">
        <f>'Neighborhood Inputs'!$H$35*BH25</f>
        <v>0</v>
      </c>
      <c r="BI36" s="63">
        <f>'Neighborhood Inputs'!$H$36*BI25</f>
        <v>16466.125470986462</v>
      </c>
      <c r="BJ36" s="63">
        <f>VLOOKUP(BJ$23,'Neighborhood Inputs'!$C$35:$D$39,2,FALSE)*BJ25</f>
        <v>0</v>
      </c>
      <c r="BK36" s="63">
        <f>VLOOKUP(BK$23,'Neighborhood Inputs'!$C$35:$D$39,2,FALSE)*BK25</f>
        <v>0</v>
      </c>
      <c r="BL36" s="63">
        <f>VLOOKUP(BL$23,'Neighborhood Inputs'!$C$35:$D$39,2,FALSE)*BL25</f>
        <v>0</v>
      </c>
      <c r="BM36" s="72">
        <f t="shared" ref="BM36:BM42" si="12">SUMIF(BH36:BL36,"&lt;&gt;#N/A")</f>
        <v>16466.125470986462</v>
      </c>
      <c r="BO36" s="21" t="s">
        <v>90</v>
      </c>
      <c r="BP36" s="63">
        <f>'Neighborhood Inputs'!$H$35*BP25</f>
        <v>21816.061123279651</v>
      </c>
      <c r="BQ36" s="63">
        <f>'Neighborhood Inputs'!$H$36*BQ25</f>
        <v>0</v>
      </c>
      <c r="BR36" s="63">
        <f>VLOOKUP(BR$23,'Neighborhood Inputs'!$C$35:$D$39,2,FALSE)*BR25</f>
        <v>0</v>
      </c>
      <c r="BS36" s="63">
        <f>VLOOKUP(BS$23,'Neighborhood Inputs'!$C$35:$D$39,2,FALSE)*BS25</f>
        <v>0</v>
      </c>
      <c r="BT36" s="63">
        <f>VLOOKUP(BT$23,'Neighborhood Inputs'!$C$35:$D$39,2,FALSE)*BT25</f>
        <v>0</v>
      </c>
      <c r="BU36" s="72">
        <f t="shared" ref="BU36:BU42" si="13">SUMIF(BP36:BT36,"&lt;&gt;#N/A")</f>
        <v>21816.061123279651</v>
      </c>
      <c r="BW36" s="21" t="s">
        <v>90</v>
      </c>
      <c r="BX36" s="63">
        <f>'Neighborhood Inputs'!$H$35*BX25</f>
        <v>0</v>
      </c>
      <c r="BY36" s="63">
        <f>'Neighborhood Inputs'!$H$36*BY25</f>
        <v>9360.0122930367506</v>
      </c>
      <c r="BZ36" s="63">
        <f>VLOOKUP(BZ$23,'Neighborhood Inputs'!$C$35:$D$39,2,FALSE)*BZ25</f>
        <v>0</v>
      </c>
      <c r="CA36" s="63">
        <f>VLOOKUP(CA$23,'Neighborhood Inputs'!$C$35:$D$39,2,FALSE)*CA25</f>
        <v>0</v>
      </c>
      <c r="CB36" s="63">
        <f>VLOOKUP(CB$23,'Neighborhood Inputs'!$C$35:$D$39,2,FALSE)*CB25</f>
        <v>0</v>
      </c>
      <c r="CC36" s="72">
        <f t="shared" ref="CC36:CC42" si="14">SUMIF(BX36:CB36,"&lt;&gt;#N/A")</f>
        <v>9360.0122930367506</v>
      </c>
      <c r="CE36" s="21" t="s">
        <v>90</v>
      </c>
      <c r="CF36" s="63">
        <f>'Neighborhood Inputs'!$H$35*CF25</f>
        <v>12401.132291827813</v>
      </c>
      <c r="CG36" s="63">
        <f>'Neighborhood Inputs'!$H$36*CG25</f>
        <v>0</v>
      </c>
      <c r="CH36" s="63">
        <f>VLOOKUP(CH$23,'Neighborhood Inputs'!$C$35:$D$39,2,FALSE)*CH25</f>
        <v>0</v>
      </c>
      <c r="CI36" s="63">
        <f>VLOOKUP(CI$23,'Neighborhood Inputs'!$C$35:$D$39,2,FALSE)*CI25</f>
        <v>0</v>
      </c>
      <c r="CJ36" s="63">
        <f>VLOOKUP(CJ$23,'Neighborhood Inputs'!$C$35:$D$39,2,FALSE)*CJ25</f>
        <v>0</v>
      </c>
      <c r="CK36" s="72">
        <f t="shared" ref="CK36:CK42" si="15">SUMIF(CF36:CJ36,"&lt;&gt;#N/A")</f>
        <v>12401.132291827813</v>
      </c>
      <c r="CM36" s="21" t="s">
        <v>90</v>
      </c>
      <c r="CN36" s="63">
        <f>'Neighborhood Inputs'!$H$35*CN25</f>
        <v>2.4989323572474373</v>
      </c>
      <c r="CO36" s="63">
        <f>'Neighborhood Inputs'!$H$36*CO25</f>
        <v>13625.49987185687</v>
      </c>
      <c r="CP36" s="63">
        <f>VLOOKUP(CP$23,'Neighborhood Inputs'!$C$35:$D$39,2,FALSE)*CP25</f>
        <v>0</v>
      </c>
      <c r="CQ36" s="63">
        <f>VLOOKUP(CQ$23,'Neighborhood Inputs'!$C$35:$D$39,2,FALSE)*CQ25</f>
        <v>0</v>
      </c>
      <c r="CR36" s="63">
        <f>VLOOKUP(CR$23,'Neighborhood Inputs'!$C$35:$D$39,2,FALSE)*CR25</f>
        <v>0</v>
      </c>
      <c r="CS36" s="72">
        <f t="shared" ref="CS36:CS42" si="16">SUMIF(CN36:CR36,"&lt;&gt;#N/A")</f>
        <v>13627.998804214118</v>
      </c>
      <c r="CU36" s="21" t="s">
        <v>90</v>
      </c>
      <c r="CV36" s="63">
        <f>'Neighborhood Inputs'!$H$35*CV25</f>
        <v>18052.500484308555</v>
      </c>
      <c r="CW36" s="63">
        <f>'Neighborhood Inputs'!$H$36*CW25</f>
        <v>0</v>
      </c>
      <c r="CX36" s="63">
        <f>VLOOKUP(CX$23,'Neighborhood Inputs'!$C$35:$D$39,2,FALSE)*CX25</f>
        <v>0</v>
      </c>
      <c r="CY36" s="63">
        <f>VLOOKUP(CY$23,'Neighborhood Inputs'!$C$35:$D$39,2,FALSE)*CY25</f>
        <v>0</v>
      </c>
      <c r="CZ36" s="63">
        <f>VLOOKUP(CZ$23,'Neighborhood Inputs'!$C$35:$D$39,2,FALSE)*CZ25</f>
        <v>0</v>
      </c>
      <c r="DA36" s="72">
        <f t="shared" ref="DA36:DA42" si="17">SUMIF(CV36:CZ36,"&lt;&gt;#N/A")</f>
        <v>18052.500484308555</v>
      </c>
      <c r="DC36" s="21" t="s">
        <v>90</v>
      </c>
      <c r="DD36" s="63">
        <f>'Neighborhood Inputs'!$H$35*DD25</f>
        <v>1.0157727672035139</v>
      </c>
      <c r="DE36" s="63">
        <f>'Neighborhood Inputs'!$H$36*DE25</f>
        <v>12149.011508704063</v>
      </c>
      <c r="DF36" s="63">
        <f>VLOOKUP(DF$23,'Neighborhood Inputs'!$C$35:$D$39,2,FALSE)*DF25</f>
        <v>0</v>
      </c>
      <c r="DG36" s="63">
        <f>VLOOKUP(DG$23,'Neighborhood Inputs'!$C$35:$D$39,2,FALSE)*DG25</f>
        <v>0</v>
      </c>
      <c r="DH36" s="63">
        <f>VLOOKUP(DH$23,'Neighborhood Inputs'!$C$35:$D$39,2,FALSE)*DH25</f>
        <v>0</v>
      </c>
      <c r="DI36" s="72">
        <f t="shared" ref="DI36:DI42" si="18">SUMIF(DD36:DH36,"&lt;&gt;#N/A")</f>
        <v>12150.027281471266</v>
      </c>
      <c r="DK36" s="21" t="s">
        <v>90</v>
      </c>
      <c r="DL36" s="63">
        <f>'Neighborhood Inputs'!$H$35*DL25</f>
        <v>16097.308621277693</v>
      </c>
      <c r="DM36" s="63">
        <f>'Neighborhood Inputs'!$H$36*DM25</f>
        <v>0</v>
      </c>
      <c r="DN36" s="63">
        <f>VLOOKUP(DN$23,'Neighborhood Inputs'!$C$35:$D$39,2,FALSE)*DN25</f>
        <v>0</v>
      </c>
      <c r="DO36" s="63">
        <f>VLOOKUP(DO$23,'Neighborhood Inputs'!$C$35:$D$39,2,FALSE)*DO25</f>
        <v>0</v>
      </c>
      <c r="DP36" s="63">
        <f>VLOOKUP(DP$23,'Neighborhood Inputs'!$C$35:$D$39,2,FALSE)*DP25</f>
        <v>0</v>
      </c>
      <c r="DQ36" s="72">
        <f t="shared" ref="DQ36:DQ42" si="19">SUMIF(DL36:DP36,"&lt;&gt;#N/A")</f>
        <v>16097.308621277693</v>
      </c>
      <c r="DS36" s="21" t="s">
        <v>90</v>
      </c>
      <c r="DT36" s="63">
        <f>'Neighborhood Inputs'!$H$35*DT25</f>
        <v>0</v>
      </c>
      <c r="DU36" s="63">
        <f>'Neighborhood Inputs'!$H$36*DU25</f>
        <v>23429.961168278533</v>
      </c>
      <c r="DV36" s="63">
        <f>VLOOKUP(DV$23,'Neighborhood Inputs'!$C$35:$D$39,2,FALSE)*DV25</f>
        <v>0</v>
      </c>
      <c r="DW36" s="63">
        <f>VLOOKUP(DW$23,'Neighborhood Inputs'!$C$35:$D$39,2,FALSE)*DW25</f>
        <v>0</v>
      </c>
      <c r="DX36" s="63">
        <f>VLOOKUP(DX$23,'Neighborhood Inputs'!$C$35:$D$39,2,FALSE)*DX25</f>
        <v>0</v>
      </c>
      <c r="DY36" s="72">
        <f t="shared" ref="DY36:DY42" si="20">SUMIF(DT36:DX36,"&lt;&gt;#N/A")</f>
        <v>23429.961168278533</v>
      </c>
      <c r="EA36" s="21" t="s">
        <v>90</v>
      </c>
      <c r="EB36" s="63">
        <f>'Neighborhood Inputs'!$H$35*EB25</f>
        <v>31042.485730106058</v>
      </c>
      <c r="EC36" s="63">
        <f>'Neighborhood Inputs'!$H$36*EC25</f>
        <v>0</v>
      </c>
      <c r="ED36" s="63">
        <f>VLOOKUP(ED$23,'Neighborhood Inputs'!$C$35:$D$39,2,FALSE)*ED25</f>
        <v>0</v>
      </c>
      <c r="EE36" s="63">
        <f>VLOOKUP(EE$23,'Neighborhood Inputs'!$C$35:$D$39,2,FALSE)*EE25</f>
        <v>0</v>
      </c>
      <c r="EF36" s="63">
        <f>VLOOKUP(EF$23,'Neighborhood Inputs'!$C$35:$D$39,2,FALSE)*EF25</f>
        <v>0</v>
      </c>
      <c r="EG36" s="72">
        <f t="shared" ref="EG36:EG42" si="21">SUMIF(EB36:EF36,"&lt;&gt;#N/A")</f>
        <v>31042.485730106058</v>
      </c>
      <c r="EI36" s="21" t="s">
        <v>90</v>
      </c>
      <c r="EJ36" s="63">
        <f>'Neighborhood Inputs'!$D$35*EJ25</f>
        <v>0</v>
      </c>
      <c r="EK36" s="63">
        <f>'Neighborhood Inputs'!$D$36*EK25</f>
        <v>0</v>
      </c>
      <c r="EL36" s="63">
        <f>VLOOKUP(EL$23,'Neighborhood Inputs'!$C$35:$D$39,2,FALSE)*EL25</f>
        <v>0</v>
      </c>
      <c r="EM36" s="63">
        <f>VLOOKUP(EM$23,'Neighborhood Inputs'!$C$35:$D$39,2,FALSE)*EM25</f>
        <v>0</v>
      </c>
      <c r="EN36" s="63">
        <f>VLOOKUP(EN$23,'Neighborhood Inputs'!$C$35:$D$39,2,FALSE)*EN25</f>
        <v>0</v>
      </c>
      <c r="EO36" s="72">
        <f t="shared" ref="EO36:EO42" si="22">SUMIF(EJ36:EN36,"&lt;&gt;#N/A")</f>
        <v>0</v>
      </c>
    </row>
    <row r="37" spans="2:145" x14ac:dyDescent="0.3">
      <c r="B37" s="197" t="s">
        <v>91</v>
      </c>
      <c r="C37" s="215">
        <f t="shared" ca="1" si="3"/>
        <v>93594.904817569535</v>
      </c>
      <c r="D37" s="216">
        <f t="shared" ca="1" si="3"/>
        <v>64209.38901434846</v>
      </c>
      <c r="E37" s="219"/>
      <c r="F37" s="219"/>
      <c r="G37" s="215">
        <f t="shared" ca="1" si="5"/>
        <v>1603.4046102489019</v>
      </c>
      <c r="H37" s="216">
        <f t="shared" ca="1" si="5"/>
        <v>1393.9120579795022</v>
      </c>
      <c r="I37" s="215">
        <f t="shared" ca="1" si="5"/>
        <v>10408.098875549047</v>
      </c>
      <c r="J37" s="216">
        <f t="shared" ca="1" si="5"/>
        <v>8704.4180825768672</v>
      </c>
      <c r="K37" s="215">
        <f t="shared" ca="1" si="5"/>
        <v>4780.9450535871156</v>
      </c>
      <c r="L37" s="216">
        <f t="shared" ca="1" si="5"/>
        <v>3998.361763646757</v>
      </c>
      <c r="M37" s="215">
        <f t="shared" ca="1" si="6"/>
        <v>9349.1918869692545</v>
      </c>
      <c r="N37" s="216">
        <f t="shared" ca="1" si="7"/>
        <v>7818.8414514003352</v>
      </c>
      <c r="O37" s="215">
        <f t="shared" ca="1" si="7"/>
        <v>3799.23971420205</v>
      </c>
      <c r="P37" s="216">
        <f t="shared" ca="1" si="7"/>
        <v>3177.3497988219274</v>
      </c>
      <c r="Q37" s="215">
        <f t="shared" ca="1" si="7"/>
        <v>0</v>
      </c>
      <c r="R37" s="216">
        <f t="shared" ca="1" si="7"/>
        <v>0</v>
      </c>
      <c r="S37" s="481"/>
      <c r="U37" s="488"/>
      <c r="V37" s="618"/>
      <c r="W37" s="588"/>
      <c r="Y37" s="588"/>
      <c r="AA37" s="21" t="s">
        <v>91</v>
      </c>
      <c r="AB37" s="63">
        <f>VLOOKUP(AB$23,'Neighborhood Inputs'!$C$35:$D$39,2,FALSE)*AB26</f>
        <v>93594.904817569535</v>
      </c>
      <c r="AC37" s="63">
        <f>VLOOKUP(AC$23,'Neighborhood Inputs'!$C$35:$D$39,2,FALSE)*AC26</f>
        <v>0</v>
      </c>
      <c r="AD37" s="63">
        <f>VLOOKUP(AD$23,'Neighborhood Inputs'!$C$35:$D$39,2,FALSE)*AD26</f>
        <v>0</v>
      </c>
      <c r="AE37" s="63">
        <f>VLOOKUP(AE$23,'Neighborhood Inputs'!$C$35:$D$39,2,FALSE)*AE26</f>
        <v>0</v>
      </c>
      <c r="AF37" s="63">
        <f>VLOOKUP(AF$23,'Neighborhood Inputs'!$C$35:$D$39,2,FALSE)*AF26</f>
        <v>0</v>
      </c>
      <c r="AG37" s="72">
        <f t="shared" si="8"/>
        <v>93594.904817569535</v>
      </c>
      <c r="AI37" s="21" t="s">
        <v>91</v>
      </c>
      <c r="AJ37" s="63">
        <f>VLOOKUP(AJ$23,'Neighborhood Inputs'!$C$35:$D$39,2,FALSE)*AJ26</f>
        <v>64209.38901434846</v>
      </c>
      <c r="AK37" s="63">
        <f>VLOOKUP(AK$23,'Neighborhood Inputs'!$C$35:$D$39,2,FALSE)*AK26</f>
        <v>0</v>
      </c>
      <c r="AL37" s="63">
        <f>VLOOKUP(AL$23,'Neighborhood Inputs'!$C$35:$D$39,2,FALSE)*AL26</f>
        <v>0</v>
      </c>
      <c r="AM37" s="63">
        <f>VLOOKUP(AM$23,'Neighborhood Inputs'!$C$35:$D$39,2,FALSE)*AM26</f>
        <v>0</v>
      </c>
      <c r="AN37" s="63">
        <f>VLOOKUP(AN$23,'Neighborhood Inputs'!$C$35:$D$39,2,FALSE)*AN26</f>
        <v>0</v>
      </c>
      <c r="AO37" s="72">
        <f t="shared" si="9"/>
        <v>64209.38901434846</v>
      </c>
      <c r="AQ37" s="21" t="s">
        <v>91</v>
      </c>
      <c r="AR37" s="63">
        <f>'Neighborhood Inputs'!$H$35*AR26</f>
        <v>1603.4046102489019</v>
      </c>
      <c r="AS37" s="63">
        <f>'Neighborhood Inputs'!$H$36*AS26</f>
        <v>0</v>
      </c>
      <c r="AT37" s="63">
        <f>VLOOKUP(AT$23,'Neighborhood Inputs'!$C$35:$D$39,2,FALSE)*AT26</f>
        <v>0</v>
      </c>
      <c r="AU37" s="63">
        <f>VLOOKUP(AU$23,'Neighborhood Inputs'!$C$35:$D$39,2,FALSE)*AU26</f>
        <v>0</v>
      </c>
      <c r="AV37" s="63">
        <f>VLOOKUP(AV$23,'Neighborhood Inputs'!$C$35:$D$39,2,FALSE)*AV26</f>
        <v>0</v>
      </c>
      <c r="AW37" s="72">
        <f t="shared" si="10"/>
        <v>1603.4046102489019</v>
      </c>
      <c r="AY37" s="21" t="s">
        <v>91</v>
      </c>
      <c r="AZ37" s="63">
        <f>'Neighborhood Inputs'!$H$35*AZ26</f>
        <v>1393.9120579795022</v>
      </c>
      <c r="BA37" s="63">
        <f>'Neighborhood Inputs'!$H$36*BA26</f>
        <v>0</v>
      </c>
      <c r="BB37" s="63">
        <f>VLOOKUP(BB$23,'Neighborhood Inputs'!$C$35:$D$39,2,FALSE)*BB26</f>
        <v>0</v>
      </c>
      <c r="BC37" s="63">
        <f>VLOOKUP(BC$23,'Neighborhood Inputs'!$C$35:$D$39,2,FALSE)*BC26</f>
        <v>0</v>
      </c>
      <c r="BD37" s="63">
        <f>VLOOKUP(BD$23,'Neighborhood Inputs'!$C$35:$D$39,2,FALSE)*BD26</f>
        <v>0</v>
      </c>
      <c r="BE37" s="72">
        <f t="shared" si="11"/>
        <v>1393.9120579795022</v>
      </c>
      <c r="BG37" s="21" t="s">
        <v>91</v>
      </c>
      <c r="BH37" s="63">
        <f>'Neighborhood Inputs'!$H$35*BH26</f>
        <v>10408.098875549047</v>
      </c>
      <c r="BI37" s="63">
        <f>'Neighborhood Inputs'!$H$36*BI26</f>
        <v>0</v>
      </c>
      <c r="BJ37" s="63">
        <f>VLOOKUP(BJ$23,'Neighborhood Inputs'!$C$35:$D$39,2,FALSE)*BJ26</f>
        <v>0</v>
      </c>
      <c r="BK37" s="63">
        <f>VLOOKUP(BK$23,'Neighborhood Inputs'!$C$35:$D$39,2,FALSE)*BK26</f>
        <v>0</v>
      </c>
      <c r="BL37" s="63">
        <f>VLOOKUP(BL$23,'Neighborhood Inputs'!$C$35:$D$39,2,FALSE)*BL26</f>
        <v>0</v>
      </c>
      <c r="BM37" s="72">
        <f t="shared" si="12"/>
        <v>10408.098875549047</v>
      </c>
      <c r="BO37" s="21" t="s">
        <v>91</v>
      </c>
      <c r="BP37" s="63">
        <f>'Neighborhood Inputs'!$H$35*BP26</f>
        <v>8704.4180825768672</v>
      </c>
      <c r="BQ37" s="63">
        <f>'Neighborhood Inputs'!$H$36*BQ26</f>
        <v>0</v>
      </c>
      <c r="BR37" s="63">
        <f>VLOOKUP(BR$23,'Neighborhood Inputs'!$C$35:$D$39,2,FALSE)*BR26</f>
        <v>0</v>
      </c>
      <c r="BS37" s="63">
        <f>VLOOKUP(BS$23,'Neighborhood Inputs'!$C$35:$D$39,2,FALSE)*BS26</f>
        <v>0</v>
      </c>
      <c r="BT37" s="63">
        <f>VLOOKUP(BT$23,'Neighborhood Inputs'!$C$35:$D$39,2,FALSE)*BT26</f>
        <v>0</v>
      </c>
      <c r="BU37" s="72">
        <f t="shared" si="13"/>
        <v>8704.4180825768672</v>
      </c>
      <c r="BW37" s="21" t="s">
        <v>91</v>
      </c>
      <c r="BX37" s="63">
        <f>'Neighborhood Inputs'!$H$35*BX26</f>
        <v>4780.9450535871156</v>
      </c>
      <c r="BY37" s="63">
        <f>'Neighborhood Inputs'!$H$36*BY26</f>
        <v>0</v>
      </c>
      <c r="BZ37" s="63">
        <f>VLOOKUP(BZ$23,'Neighborhood Inputs'!$C$35:$D$39,2,FALSE)*BZ26</f>
        <v>0</v>
      </c>
      <c r="CA37" s="63">
        <f>VLOOKUP(CA$23,'Neighborhood Inputs'!$C$35:$D$39,2,FALSE)*CA26</f>
        <v>0</v>
      </c>
      <c r="CB37" s="63">
        <f>VLOOKUP(CB$23,'Neighborhood Inputs'!$C$35:$D$39,2,FALSE)*CB26</f>
        <v>0</v>
      </c>
      <c r="CC37" s="72">
        <f t="shared" si="14"/>
        <v>4780.9450535871156</v>
      </c>
      <c r="CE37" s="21" t="s">
        <v>91</v>
      </c>
      <c r="CF37" s="63">
        <f>'Neighborhood Inputs'!$H$35*CF26</f>
        <v>3998.361763646757</v>
      </c>
      <c r="CG37" s="63">
        <f>'Neighborhood Inputs'!$H$36*CG26</f>
        <v>0</v>
      </c>
      <c r="CH37" s="63">
        <f>VLOOKUP(CH$23,'Neighborhood Inputs'!$C$35:$D$39,2,FALSE)*CH26</f>
        <v>0</v>
      </c>
      <c r="CI37" s="63">
        <f>VLOOKUP(CI$23,'Neighborhood Inputs'!$C$35:$D$39,2,FALSE)*CI26</f>
        <v>0</v>
      </c>
      <c r="CJ37" s="63">
        <f>VLOOKUP(CJ$23,'Neighborhood Inputs'!$C$35:$D$39,2,FALSE)*CJ26</f>
        <v>0</v>
      </c>
      <c r="CK37" s="72">
        <f t="shared" si="15"/>
        <v>3998.361763646757</v>
      </c>
      <c r="CM37" s="21" t="s">
        <v>91</v>
      </c>
      <c r="CN37" s="63">
        <f>'Neighborhood Inputs'!$H$35*CN26</f>
        <v>9349.1918869692545</v>
      </c>
      <c r="CO37" s="63">
        <f>'Neighborhood Inputs'!$H$36*CO26</f>
        <v>0</v>
      </c>
      <c r="CP37" s="63">
        <f>VLOOKUP(CP$23,'Neighborhood Inputs'!$C$35:$D$39,2,FALSE)*CP26</f>
        <v>0</v>
      </c>
      <c r="CQ37" s="63">
        <f>VLOOKUP(CQ$23,'Neighborhood Inputs'!$C$35:$D$39,2,FALSE)*CQ26</f>
        <v>0</v>
      </c>
      <c r="CR37" s="63">
        <f>VLOOKUP(CR$23,'Neighborhood Inputs'!$C$35:$D$39,2,FALSE)*CR26</f>
        <v>0</v>
      </c>
      <c r="CS37" s="72">
        <f t="shared" si="16"/>
        <v>9349.1918869692545</v>
      </c>
      <c r="CU37" s="21" t="s">
        <v>91</v>
      </c>
      <c r="CV37" s="63">
        <f>'Neighborhood Inputs'!$H$35*CV26</f>
        <v>7818.8414514003352</v>
      </c>
      <c r="CW37" s="63">
        <f>'Neighborhood Inputs'!$H$36*CW26</f>
        <v>0</v>
      </c>
      <c r="CX37" s="63">
        <f>VLOOKUP(CX$23,'Neighborhood Inputs'!$C$35:$D$39,2,FALSE)*CX26</f>
        <v>0</v>
      </c>
      <c r="CY37" s="63">
        <f>VLOOKUP(CY$23,'Neighborhood Inputs'!$C$35:$D$39,2,FALSE)*CY26</f>
        <v>0</v>
      </c>
      <c r="CZ37" s="63">
        <f>VLOOKUP(CZ$23,'Neighborhood Inputs'!$C$35:$D$39,2,FALSE)*CZ26</f>
        <v>0</v>
      </c>
      <c r="DA37" s="72">
        <f t="shared" si="17"/>
        <v>7818.8414514003352</v>
      </c>
      <c r="DC37" s="21" t="s">
        <v>91</v>
      </c>
      <c r="DD37" s="63">
        <f>'Neighborhood Inputs'!$H$35*DD26</f>
        <v>3799.23971420205</v>
      </c>
      <c r="DE37" s="63">
        <f>'Neighborhood Inputs'!$H$36*DE26</f>
        <v>0</v>
      </c>
      <c r="DF37" s="63">
        <f>VLOOKUP(DF$23,'Neighborhood Inputs'!$C$35:$D$39,2,FALSE)*DF26</f>
        <v>0</v>
      </c>
      <c r="DG37" s="63">
        <f>VLOOKUP(DG$23,'Neighborhood Inputs'!$C$35:$D$39,2,FALSE)*DG26</f>
        <v>0</v>
      </c>
      <c r="DH37" s="63">
        <f>VLOOKUP(DH$23,'Neighborhood Inputs'!$C$35:$D$39,2,FALSE)*DH26</f>
        <v>0</v>
      </c>
      <c r="DI37" s="72">
        <f t="shared" si="18"/>
        <v>3799.23971420205</v>
      </c>
      <c r="DK37" s="21" t="s">
        <v>91</v>
      </c>
      <c r="DL37" s="63">
        <f>'Neighborhood Inputs'!$H$35*DL26</f>
        <v>3177.3497988219274</v>
      </c>
      <c r="DM37" s="63">
        <f>'Neighborhood Inputs'!$H$36*DM26</f>
        <v>0</v>
      </c>
      <c r="DN37" s="63">
        <f>VLOOKUP(DN$23,'Neighborhood Inputs'!$C$35:$D$39,2,FALSE)*DN26</f>
        <v>0</v>
      </c>
      <c r="DO37" s="63">
        <f>VLOOKUP(DO$23,'Neighborhood Inputs'!$C$35:$D$39,2,FALSE)*DO26</f>
        <v>0</v>
      </c>
      <c r="DP37" s="63">
        <f>VLOOKUP(DP$23,'Neighborhood Inputs'!$C$35:$D$39,2,FALSE)*DP26</f>
        <v>0</v>
      </c>
      <c r="DQ37" s="72">
        <f t="shared" si="19"/>
        <v>3177.3497988219274</v>
      </c>
      <c r="DS37" s="21" t="s">
        <v>91</v>
      </c>
      <c r="DT37" s="63">
        <f>'Neighborhood Inputs'!$H$35*DT26</f>
        <v>0</v>
      </c>
      <c r="DU37" s="63">
        <f>'Neighborhood Inputs'!$H$36*DU26</f>
        <v>0</v>
      </c>
      <c r="DV37" s="63">
        <f>VLOOKUP(DV$23,'Neighborhood Inputs'!$C$35:$D$39,2,FALSE)*DV26</f>
        <v>0</v>
      </c>
      <c r="DW37" s="63">
        <f>VLOOKUP(DW$23,'Neighborhood Inputs'!$C$35:$D$39,2,FALSE)*DW26</f>
        <v>0</v>
      </c>
      <c r="DX37" s="63">
        <f>VLOOKUP(DX$23,'Neighborhood Inputs'!$C$35:$D$39,2,FALSE)*DX26</f>
        <v>0</v>
      </c>
      <c r="DY37" s="72">
        <f t="shared" si="20"/>
        <v>0</v>
      </c>
      <c r="EA37" s="21" t="s">
        <v>91</v>
      </c>
      <c r="EB37" s="63">
        <f>'Neighborhood Inputs'!$H$35*EB26</f>
        <v>0</v>
      </c>
      <c r="EC37" s="63">
        <f>'Neighborhood Inputs'!$H$36*EC26</f>
        <v>0</v>
      </c>
      <c r="ED37" s="63">
        <f>VLOOKUP(ED$23,'Neighborhood Inputs'!$C$35:$D$39,2,FALSE)*ED26</f>
        <v>0</v>
      </c>
      <c r="EE37" s="63">
        <f>VLOOKUP(EE$23,'Neighborhood Inputs'!$C$35:$D$39,2,FALSE)*EE26</f>
        <v>0</v>
      </c>
      <c r="EF37" s="63">
        <f>VLOOKUP(EF$23,'Neighborhood Inputs'!$C$35:$D$39,2,FALSE)*EF26</f>
        <v>0</v>
      </c>
      <c r="EG37" s="72">
        <f t="shared" si="21"/>
        <v>0</v>
      </c>
      <c r="EI37" s="21" t="s">
        <v>91</v>
      </c>
      <c r="EJ37" s="63">
        <f>'Neighborhood Inputs'!$D$35*EJ26</f>
        <v>0</v>
      </c>
      <c r="EK37" s="63">
        <f>'Neighborhood Inputs'!$D$36*EK26</f>
        <v>0</v>
      </c>
      <c r="EL37" s="63">
        <f>VLOOKUP(EL$23,'Neighborhood Inputs'!$C$35:$D$39,2,FALSE)*EL26</f>
        <v>0</v>
      </c>
      <c r="EM37" s="63">
        <f>VLOOKUP(EM$23,'Neighborhood Inputs'!$C$35:$D$39,2,FALSE)*EM26</f>
        <v>0</v>
      </c>
      <c r="EN37" s="63">
        <f>VLOOKUP(EN$23,'Neighborhood Inputs'!$C$35:$D$39,2,FALSE)*EN26</f>
        <v>0</v>
      </c>
      <c r="EO37" s="72">
        <f t="shared" si="22"/>
        <v>0</v>
      </c>
    </row>
    <row r="38" spans="2:145" x14ac:dyDescent="0.3">
      <c r="B38" s="197" t="s">
        <v>103</v>
      </c>
      <c r="C38" s="215">
        <f t="shared" ca="1" si="3"/>
        <v>13.09352503660322</v>
      </c>
      <c r="D38" s="216">
        <f t="shared" ca="1" si="3"/>
        <v>5237.4164846266467</v>
      </c>
      <c r="E38" s="219"/>
      <c r="F38" s="219"/>
      <c r="G38" s="215">
        <f t="shared" ca="1" si="5"/>
        <v>5.6918301610541726E-2</v>
      </c>
      <c r="H38" s="216">
        <f t="shared" ca="1" si="5"/>
        <v>658.23644216691071</v>
      </c>
      <c r="I38" s="215">
        <f t="shared" ca="1" si="5"/>
        <v>1.1204878477306004</v>
      </c>
      <c r="J38" s="216">
        <f t="shared" ca="1" si="5"/>
        <v>6399.6616903367494</v>
      </c>
      <c r="K38" s="215">
        <f t="shared" ca="1" si="5"/>
        <v>0.8483016105417277</v>
      </c>
      <c r="L38" s="216">
        <f t="shared" ca="1" si="5"/>
        <v>3563.3042875007186</v>
      </c>
      <c r="M38" s="215">
        <f t="shared" ca="1" si="6"/>
        <v>10.567831332357247</v>
      </c>
      <c r="N38" s="216">
        <f t="shared" ca="1" si="7"/>
        <v>4650.8172826537375</v>
      </c>
      <c r="O38" s="215">
        <f t="shared" ca="1" si="7"/>
        <v>7.3731092240117135</v>
      </c>
      <c r="P38" s="216">
        <f t="shared" ca="1" si="7"/>
        <v>4853.6219065594551</v>
      </c>
      <c r="Q38" s="215">
        <f t="shared" ca="1" si="7"/>
        <v>1.4765920937042458</v>
      </c>
      <c r="R38" s="216">
        <f t="shared" ca="1" si="7"/>
        <v>7690.5306999176264</v>
      </c>
      <c r="S38" s="481"/>
      <c r="U38" s="488"/>
      <c r="V38" s="618"/>
      <c r="W38" s="588"/>
      <c r="Y38" s="588"/>
      <c r="AA38" s="21" t="s">
        <v>103</v>
      </c>
      <c r="AB38" s="63">
        <f>VLOOKUP(AB$23,'Neighborhood Inputs'!$C$35:$D$39,2,FALSE)*AB27</f>
        <v>13.09352503660322</v>
      </c>
      <c r="AC38" s="63">
        <f>VLOOKUP(AC$23,'Neighborhood Inputs'!$C$35:$D$39,2,FALSE)*AC27</f>
        <v>0</v>
      </c>
      <c r="AD38" s="63">
        <f>VLOOKUP(AD$23,'Neighborhood Inputs'!$C$35:$D$39,2,FALSE)*AD27</f>
        <v>0</v>
      </c>
      <c r="AE38" s="63">
        <f>VLOOKUP(AE$23,'Neighborhood Inputs'!$C$35:$D$39,2,FALSE)*AE27</f>
        <v>0</v>
      </c>
      <c r="AF38" s="63">
        <f>VLOOKUP(AF$23,'Neighborhood Inputs'!$C$35:$D$39,2,FALSE)*AF27</f>
        <v>0</v>
      </c>
      <c r="AG38" s="72">
        <f t="shared" si="8"/>
        <v>13.09352503660322</v>
      </c>
      <c r="AI38" s="21" t="s">
        <v>103</v>
      </c>
      <c r="AJ38" s="63">
        <f>VLOOKUP(AJ$23,'Neighborhood Inputs'!$C$35:$D$39,2,FALSE)*AJ27</f>
        <v>5237.4164846266467</v>
      </c>
      <c r="AK38" s="63">
        <f>VLOOKUP(AK$23,'Neighborhood Inputs'!$C$35:$D$39,2,FALSE)*AK27</f>
        <v>0</v>
      </c>
      <c r="AL38" s="63">
        <f>VLOOKUP(AL$23,'Neighborhood Inputs'!$C$35:$D$39,2,FALSE)*AL27</f>
        <v>0</v>
      </c>
      <c r="AM38" s="63">
        <f>VLOOKUP(AM$23,'Neighborhood Inputs'!$C$35:$D$39,2,FALSE)*AM27</f>
        <v>0</v>
      </c>
      <c r="AN38" s="63">
        <f>VLOOKUP(AN$23,'Neighborhood Inputs'!$C$35:$D$39,2,FALSE)*AN27</f>
        <v>0</v>
      </c>
      <c r="AO38" s="72">
        <f t="shared" si="9"/>
        <v>5237.4164846266467</v>
      </c>
      <c r="AQ38" s="21" t="s">
        <v>103</v>
      </c>
      <c r="AR38" s="63">
        <f>'Neighborhood Inputs'!$H$35*AR27</f>
        <v>5.6918301610541726E-2</v>
      </c>
      <c r="AS38" s="63">
        <f>'Neighborhood Inputs'!$H$36*AS27</f>
        <v>0</v>
      </c>
      <c r="AT38" s="63">
        <f>VLOOKUP(AT$23,'Neighborhood Inputs'!$C$35:$D$39,2,FALSE)*AT27</f>
        <v>0</v>
      </c>
      <c r="AU38" s="63">
        <f>VLOOKUP(AU$23,'Neighborhood Inputs'!$C$35:$D$39,2,FALSE)*AU27</f>
        <v>0</v>
      </c>
      <c r="AV38" s="63">
        <f>VLOOKUP(AV$23,'Neighborhood Inputs'!$C$35:$D$39,2,FALSE)*AV27</f>
        <v>0</v>
      </c>
      <c r="AW38" s="72">
        <f t="shared" si="10"/>
        <v>5.6918301610541726E-2</v>
      </c>
      <c r="AY38" s="21" t="s">
        <v>103</v>
      </c>
      <c r="AZ38" s="63">
        <f>'Neighborhood Inputs'!$H$35*AZ27</f>
        <v>658.23644216691071</v>
      </c>
      <c r="BA38" s="63">
        <f>'Neighborhood Inputs'!$H$36*BA27</f>
        <v>0</v>
      </c>
      <c r="BB38" s="63">
        <f>VLOOKUP(BB$23,'Neighborhood Inputs'!$C$35:$D$39,2,FALSE)*BB27</f>
        <v>0</v>
      </c>
      <c r="BC38" s="63">
        <f>VLOOKUP(BC$23,'Neighborhood Inputs'!$C$35:$D$39,2,FALSE)*BC27</f>
        <v>0</v>
      </c>
      <c r="BD38" s="63">
        <f>VLOOKUP(BD$23,'Neighborhood Inputs'!$C$35:$D$39,2,FALSE)*BD27</f>
        <v>0</v>
      </c>
      <c r="BE38" s="72">
        <f t="shared" si="11"/>
        <v>658.23644216691071</v>
      </c>
      <c r="BG38" s="21" t="s">
        <v>103</v>
      </c>
      <c r="BH38" s="63">
        <f>'Neighborhood Inputs'!$H$35*BH27</f>
        <v>1.1204878477306004</v>
      </c>
      <c r="BI38" s="63">
        <f>'Neighborhood Inputs'!$H$36*BI27</f>
        <v>0</v>
      </c>
      <c r="BJ38" s="63">
        <f>VLOOKUP(BJ$23,'Neighborhood Inputs'!$C$35:$D$39,2,FALSE)*BJ27</f>
        <v>0</v>
      </c>
      <c r="BK38" s="63">
        <f>VLOOKUP(BK$23,'Neighborhood Inputs'!$C$35:$D$39,2,FALSE)*BK27</f>
        <v>0</v>
      </c>
      <c r="BL38" s="63">
        <f>VLOOKUP(BL$23,'Neighborhood Inputs'!$C$35:$D$39,2,FALSE)*BL27</f>
        <v>0</v>
      </c>
      <c r="BM38" s="72">
        <f t="shared" si="12"/>
        <v>1.1204878477306004</v>
      </c>
      <c r="BO38" s="21" t="s">
        <v>103</v>
      </c>
      <c r="BP38" s="63">
        <f>'Neighborhood Inputs'!$H$35*BP27</f>
        <v>6399.6616903367494</v>
      </c>
      <c r="BQ38" s="63">
        <f>'Neighborhood Inputs'!$H$36*BQ27</f>
        <v>0</v>
      </c>
      <c r="BR38" s="63">
        <f>VLOOKUP(BR$23,'Neighborhood Inputs'!$C$35:$D$39,2,FALSE)*BR27</f>
        <v>0</v>
      </c>
      <c r="BS38" s="63">
        <f>VLOOKUP(BS$23,'Neighborhood Inputs'!$C$35:$D$39,2,FALSE)*BS27</f>
        <v>0</v>
      </c>
      <c r="BT38" s="63">
        <f>VLOOKUP(BT$23,'Neighborhood Inputs'!$C$35:$D$39,2,FALSE)*BT27</f>
        <v>0</v>
      </c>
      <c r="BU38" s="72">
        <f t="shared" si="13"/>
        <v>6399.6616903367494</v>
      </c>
      <c r="BW38" s="21" t="s">
        <v>103</v>
      </c>
      <c r="BX38" s="63">
        <f>'Neighborhood Inputs'!$H$35*BX27</f>
        <v>0.8483016105417277</v>
      </c>
      <c r="BY38" s="63">
        <f>'Neighborhood Inputs'!$H$36*BY27</f>
        <v>0</v>
      </c>
      <c r="BZ38" s="63">
        <f>VLOOKUP(BZ$23,'Neighborhood Inputs'!$C$35:$D$39,2,FALSE)*BZ27</f>
        <v>0</v>
      </c>
      <c r="CA38" s="63">
        <f>VLOOKUP(CA$23,'Neighborhood Inputs'!$C$35:$D$39,2,FALSE)*CA27</f>
        <v>0</v>
      </c>
      <c r="CB38" s="63">
        <f>VLOOKUP(CB$23,'Neighborhood Inputs'!$C$35:$D$39,2,FALSE)*CB27</f>
        <v>0</v>
      </c>
      <c r="CC38" s="72">
        <f t="shared" si="14"/>
        <v>0.8483016105417277</v>
      </c>
      <c r="CE38" s="21" t="s">
        <v>103</v>
      </c>
      <c r="CF38" s="63">
        <f>'Neighborhood Inputs'!$H$35*CF27</f>
        <v>3563.3042875007186</v>
      </c>
      <c r="CG38" s="63">
        <f>'Neighborhood Inputs'!$H$36*CG27</f>
        <v>0</v>
      </c>
      <c r="CH38" s="63">
        <f>VLOOKUP(CH$23,'Neighborhood Inputs'!$C$35:$D$39,2,FALSE)*CH27</f>
        <v>0</v>
      </c>
      <c r="CI38" s="63">
        <f>VLOOKUP(CI$23,'Neighborhood Inputs'!$C$35:$D$39,2,FALSE)*CI27</f>
        <v>0</v>
      </c>
      <c r="CJ38" s="63">
        <f>VLOOKUP(CJ$23,'Neighborhood Inputs'!$C$35:$D$39,2,FALSE)*CJ27</f>
        <v>0</v>
      </c>
      <c r="CK38" s="72">
        <f t="shared" si="15"/>
        <v>3563.3042875007186</v>
      </c>
      <c r="CM38" s="21" t="s">
        <v>103</v>
      </c>
      <c r="CN38" s="63">
        <f>'Neighborhood Inputs'!$H$35*CN27</f>
        <v>10.567831332357247</v>
      </c>
      <c r="CO38" s="63">
        <f>'Neighborhood Inputs'!$H$36*CO27</f>
        <v>0</v>
      </c>
      <c r="CP38" s="63">
        <f>VLOOKUP(CP$23,'Neighborhood Inputs'!$C$35:$D$39,2,FALSE)*CP27</f>
        <v>0</v>
      </c>
      <c r="CQ38" s="63">
        <f>VLOOKUP(CQ$23,'Neighborhood Inputs'!$C$35:$D$39,2,FALSE)*CQ27</f>
        <v>0</v>
      </c>
      <c r="CR38" s="63">
        <f>VLOOKUP(CR$23,'Neighborhood Inputs'!$C$35:$D$39,2,FALSE)*CR27</f>
        <v>0</v>
      </c>
      <c r="CS38" s="72">
        <f t="shared" si="16"/>
        <v>10.567831332357247</v>
      </c>
      <c r="CU38" s="21" t="s">
        <v>103</v>
      </c>
      <c r="CV38" s="63">
        <f>'Neighborhood Inputs'!$H$35*CV27</f>
        <v>4650.8172826537375</v>
      </c>
      <c r="CW38" s="63">
        <f>'Neighborhood Inputs'!$H$36*CW27</f>
        <v>0</v>
      </c>
      <c r="CX38" s="63">
        <f>VLOOKUP(CX$23,'Neighborhood Inputs'!$C$35:$D$39,2,FALSE)*CX27</f>
        <v>0</v>
      </c>
      <c r="CY38" s="63">
        <f>VLOOKUP(CY$23,'Neighborhood Inputs'!$C$35:$D$39,2,FALSE)*CY27</f>
        <v>0</v>
      </c>
      <c r="CZ38" s="63">
        <f>VLOOKUP(CZ$23,'Neighborhood Inputs'!$C$35:$D$39,2,FALSE)*CZ27</f>
        <v>0</v>
      </c>
      <c r="DA38" s="72">
        <f t="shared" si="17"/>
        <v>4650.8172826537375</v>
      </c>
      <c r="DC38" s="21" t="s">
        <v>103</v>
      </c>
      <c r="DD38" s="63">
        <f>'Neighborhood Inputs'!$H$35*DD27</f>
        <v>7.3731092240117135</v>
      </c>
      <c r="DE38" s="63">
        <f>'Neighborhood Inputs'!$H$36*DE27</f>
        <v>0</v>
      </c>
      <c r="DF38" s="63">
        <f>VLOOKUP(DF$23,'Neighborhood Inputs'!$C$35:$D$39,2,FALSE)*DF27</f>
        <v>0</v>
      </c>
      <c r="DG38" s="63">
        <f>VLOOKUP(DG$23,'Neighborhood Inputs'!$C$35:$D$39,2,FALSE)*DG27</f>
        <v>0</v>
      </c>
      <c r="DH38" s="63">
        <f>VLOOKUP(DH$23,'Neighborhood Inputs'!$C$35:$D$39,2,FALSE)*DH27</f>
        <v>0</v>
      </c>
      <c r="DI38" s="72">
        <f t="shared" si="18"/>
        <v>7.3731092240117135</v>
      </c>
      <c r="DK38" s="21" t="s">
        <v>103</v>
      </c>
      <c r="DL38" s="63">
        <f>'Neighborhood Inputs'!$H$35*DL27</f>
        <v>4853.6219065594551</v>
      </c>
      <c r="DM38" s="63">
        <f>'Neighborhood Inputs'!$H$36*DM27</f>
        <v>0</v>
      </c>
      <c r="DN38" s="63">
        <f>VLOOKUP(DN$23,'Neighborhood Inputs'!$C$35:$D$39,2,FALSE)*DN27</f>
        <v>0</v>
      </c>
      <c r="DO38" s="63">
        <f>VLOOKUP(DO$23,'Neighborhood Inputs'!$C$35:$D$39,2,FALSE)*DO27</f>
        <v>0</v>
      </c>
      <c r="DP38" s="63">
        <f>VLOOKUP(DP$23,'Neighborhood Inputs'!$C$35:$D$39,2,FALSE)*DP27</f>
        <v>0</v>
      </c>
      <c r="DQ38" s="72">
        <f t="shared" si="19"/>
        <v>4853.6219065594551</v>
      </c>
      <c r="DS38" s="21" t="s">
        <v>103</v>
      </c>
      <c r="DT38" s="63">
        <f>'Neighborhood Inputs'!$H$35*DT27</f>
        <v>1.4765920937042458</v>
      </c>
      <c r="DU38" s="63">
        <f>'Neighborhood Inputs'!$H$36*DU27</f>
        <v>0</v>
      </c>
      <c r="DV38" s="63">
        <f>VLOOKUP(DV$23,'Neighborhood Inputs'!$C$35:$D$39,2,FALSE)*DV27</f>
        <v>0</v>
      </c>
      <c r="DW38" s="63">
        <f>VLOOKUP(DW$23,'Neighborhood Inputs'!$C$35:$D$39,2,FALSE)*DW27</f>
        <v>0</v>
      </c>
      <c r="DX38" s="63">
        <f>VLOOKUP(DX$23,'Neighborhood Inputs'!$C$35:$D$39,2,FALSE)*DX27</f>
        <v>0</v>
      </c>
      <c r="DY38" s="72">
        <f t="shared" si="20"/>
        <v>1.4765920937042458</v>
      </c>
      <c r="EA38" s="21" t="s">
        <v>103</v>
      </c>
      <c r="EB38" s="63">
        <f>'Neighborhood Inputs'!$H$35*EB27</f>
        <v>7690.5306999176264</v>
      </c>
      <c r="EC38" s="63">
        <f>'Neighborhood Inputs'!$H$36*EC27</f>
        <v>0</v>
      </c>
      <c r="ED38" s="63">
        <f>VLOOKUP(ED$23,'Neighborhood Inputs'!$C$35:$D$39,2,FALSE)*ED27</f>
        <v>0</v>
      </c>
      <c r="EE38" s="63">
        <f>VLOOKUP(EE$23,'Neighborhood Inputs'!$C$35:$D$39,2,FALSE)*EE27</f>
        <v>0</v>
      </c>
      <c r="EF38" s="63">
        <f>VLOOKUP(EF$23,'Neighborhood Inputs'!$C$35:$D$39,2,FALSE)*EF27</f>
        <v>0</v>
      </c>
      <c r="EG38" s="72">
        <f t="shared" si="21"/>
        <v>7690.5306999176264</v>
      </c>
      <c r="EI38" s="21" t="s">
        <v>103</v>
      </c>
      <c r="EJ38" s="63">
        <f>'Neighborhood Inputs'!$D$35*EJ27</f>
        <v>41648.530083455342</v>
      </c>
      <c r="EK38" s="63">
        <f>'Neighborhood Inputs'!$D$36*EK27</f>
        <v>0</v>
      </c>
      <c r="EL38" s="63">
        <f>VLOOKUP(EL$23,'Neighborhood Inputs'!$C$35:$D$39,2,FALSE)*EL27</f>
        <v>0</v>
      </c>
      <c r="EM38" s="63">
        <f>VLOOKUP(EM$23,'Neighborhood Inputs'!$C$35:$D$39,2,FALSE)*EM27</f>
        <v>0</v>
      </c>
      <c r="EN38" s="63">
        <f>VLOOKUP(EN$23,'Neighborhood Inputs'!$C$35:$D$39,2,FALSE)*EN27</f>
        <v>0</v>
      </c>
      <c r="EO38" s="72">
        <f t="shared" si="22"/>
        <v>41648.530083455342</v>
      </c>
    </row>
    <row r="39" spans="2:145" x14ac:dyDescent="0.3">
      <c r="B39" s="197" t="s">
        <v>102</v>
      </c>
      <c r="C39" s="215">
        <f t="shared" ca="1" si="3"/>
        <v>101787.22730893116</v>
      </c>
      <c r="D39" s="216">
        <f t="shared" ca="1" si="3"/>
        <v>42869.086638945824</v>
      </c>
      <c r="E39" s="219"/>
      <c r="F39" s="219"/>
      <c r="G39" s="215">
        <f t="shared" ca="1" si="5"/>
        <v>1362.780665885798</v>
      </c>
      <c r="H39" s="216">
        <f t="shared" ca="1" si="5"/>
        <v>721.00820732064426</v>
      </c>
      <c r="I39" s="215">
        <f t="shared" ca="1" si="5"/>
        <v>6708.4428380673498</v>
      </c>
      <c r="J39" s="216">
        <f t="shared" ca="1" si="5"/>
        <v>4439.6231472913614</v>
      </c>
      <c r="K39" s="215">
        <f t="shared" ca="1" si="5"/>
        <v>3314.7912655929722</v>
      </c>
      <c r="L39" s="216">
        <f t="shared" ca="1" si="5"/>
        <v>2193.7168410613567</v>
      </c>
      <c r="M39" s="215">
        <f t="shared" ca="1" si="6"/>
        <v>12658.874005270864</v>
      </c>
      <c r="N39" s="216">
        <f t="shared" ca="1" si="7"/>
        <v>8377.596919143818</v>
      </c>
      <c r="O39" s="215">
        <f t="shared" ca="1" si="7"/>
        <v>28332.893607027818</v>
      </c>
      <c r="P39" s="216">
        <f t="shared" ca="1" si="7"/>
        <v>18750.606261965633</v>
      </c>
      <c r="Q39" s="215">
        <f t="shared" ca="1" si="7"/>
        <v>42120.490370717424</v>
      </c>
      <c r="R39" s="216">
        <f t="shared" ca="1" si="7"/>
        <v>27875.18781019724</v>
      </c>
      <c r="S39" s="481"/>
      <c r="U39" s="488"/>
      <c r="V39" s="618"/>
      <c r="W39" s="588"/>
      <c r="Y39" s="588"/>
      <c r="AA39" s="21" t="s">
        <v>102</v>
      </c>
      <c r="AB39" s="63">
        <f>VLOOKUP(AB$23,'Neighborhood Inputs'!$C$35:$D$39,2,FALSE)*AB28</f>
        <v>101787.22730893116</v>
      </c>
      <c r="AC39" s="63">
        <f>VLOOKUP(AC$23,'Neighborhood Inputs'!$C$35:$D$39,2,FALSE)*AC28</f>
        <v>0</v>
      </c>
      <c r="AD39" s="63">
        <f>VLOOKUP(AD$23,'Neighborhood Inputs'!$C$35:$D$39,2,FALSE)*AD28</f>
        <v>0</v>
      </c>
      <c r="AE39" s="63">
        <f>VLOOKUP(AE$23,'Neighborhood Inputs'!$C$35:$D$39,2,FALSE)*AE28</f>
        <v>0</v>
      </c>
      <c r="AF39" s="63">
        <f>VLOOKUP(AF$23,'Neighborhood Inputs'!$C$35:$D$39,2,FALSE)*AF28</f>
        <v>0</v>
      </c>
      <c r="AG39" s="72">
        <f t="shared" si="8"/>
        <v>101787.22730893116</v>
      </c>
      <c r="AI39" s="21" t="s">
        <v>102</v>
      </c>
      <c r="AJ39" s="63">
        <f>VLOOKUP(AJ$23,'Neighborhood Inputs'!$C$35:$D$39,2,FALSE)*AJ28</f>
        <v>42869.086638945824</v>
      </c>
      <c r="AK39" s="63">
        <f>VLOOKUP(AK$23,'Neighborhood Inputs'!$C$35:$D$39,2,FALSE)*AK28</f>
        <v>0</v>
      </c>
      <c r="AL39" s="63">
        <f>VLOOKUP(AL$23,'Neighborhood Inputs'!$C$35:$D$39,2,FALSE)*AL28</f>
        <v>0</v>
      </c>
      <c r="AM39" s="63">
        <f>VLOOKUP(AM$23,'Neighborhood Inputs'!$C$35:$D$39,2,FALSE)*AM28</f>
        <v>0</v>
      </c>
      <c r="AN39" s="63">
        <f>VLOOKUP(AN$23,'Neighborhood Inputs'!$C$35:$D$39,2,FALSE)*AN28</f>
        <v>0</v>
      </c>
      <c r="AO39" s="72">
        <f t="shared" si="9"/>
        <v>42869.086638945824</v>
      </c>
      <c r="AQ39" s="21" t="s">
        <v>102</v>
      </c>
      <c r="AR39" s="63">
        <f>'Neighborhood Inputs'!$H$35*AR28</f>
        <v>1362.780665885798</v>
      </c>
      <c r="AS39" s="63">
        <f>'Neighborhood Inputs'!$H$36*AS28</f>
        <v>0</v>
      </c>
      <c r="AT39" s="63">
        <f>VLOOKUP(AT$23,'Neighborhood Inputs'!$C$35:$D$39,2,FALSE)*AT28</f>
        <v>0</v>
      </c>
      <c r="AU39" s="63">
        <f>VLOOKUP(AU$23,'Neighborhood Inputs'!$C$35:$D$39,2,FALSE)*AU28</f>
        <v>0</v>
      </c>
      <c r="AV39" s="63">
        <f>VLOOKUP(AV$23,'Neighborhood Inputs'!$C$35:$D$39,2,FALSE)*AV28</f>
        <v>0</v>
      </c>
      <c r="AW39" s="72">
        <f t="shared" si="10"/>
        <v>1362.780665885798</v>
      </c>
      <c r="AY39" s="21" t="s">
        <v>102</v>
      </c>
      <c r="AZ39" s="63">
        <f>'Neighborhood Inputs'!$H$35*AZ28</f>
        <v>721.00820732064426</v>
      </c>
      <c r="BA39" s="63">
        <f>'Neighborhood Inputs'!$H$36*BA28</f>
        <v>0</v>
      </c>
      <c r="BB39" s="63">
        <f>VLOOKUP(BB$23,'Neighborhood Inputs'!$C$35:$D$39,2,FALSE)*BB28</f>
        <v>0</v>
      </c>
      <c r="BC39" s="63">
        <f>VLOOKUP(BC$23,'Neighborhood Inputs'!$C$35:$D$39,2,FALSE)*BC28</f>
        <v>0</v>
      </c>
      <c r="BD39" s="63">
        <f>VLOOKUP(BD$23,'Neighborhood Inputs'!$C$35:$D$39,2,FALSE)*BD28</f>
        <v>0</v>
      </c>
      <c r="BE39" s="72">
        <f t="shared" si="11"/>
        <v>721.00820732064426</v>
      </c>
      <c r="BG39" s="21" t="s">
        <v>102</v>
      </c>
      <c r="BH39" s="63">
        <f>'Neighborhood Inputs'!$H$35*BH28</f>
        <v>6708.4428380673498</v>
      </c>
      <c r="BI39" s="63">
        <f>'Neighborhood Inputs'!$H$36*BI28</f>
        <v>0</v>
      </c>
      <c r="BJ39" s="63">
        <f>VLOOKUP(BJ$23,'Neighborhood Inputs'!$C$35:$D$39,2,FALSE)*BJ28</f>
        <v>0</v>
      </c>
      <c r="BK39" s="63">
        <f>VLOOKUP(BK$23,'Neighborhood Inputs'!$C$35:$D$39,2,FALSE)*BK28</f>
        <v>0</v>
      </c>
      <c r="BL39" s="63">
        <f>VLOOKUP(BL$23,'Neighborhood Inputs'!$C$35:$D$39,2,FALSE)*BL28</f>
        <v>0</v>
      </c>
      <c r="BM39" s="72">
        <f t="shared" si="12"/>
        <v>6708.4428380673498</v>
      </c>
      <c r="BO39" s="21" t="s">
        <v>102</v>
      </c>
      <c r="BP39" s="63">
        <f>'Neighborhood Inputs'!$H$35*BP28</f>
        <v>4439.6231472913614</v>
      </c>
      <c r="BQ39" s="63">
        <f>'Neighborhood Inputs'!$H$36*BQ28</f>
        <v>0</v>
      </c>
      <c r="BR39" s="63">
        <f>VLOOKUP(BR$23,'Neighborhood Inputs'!$C$35:$D$39,2,FALSE)*BR28</f>
        <v>0</v>
      </c>
      <c r="BS39" s="63">
        <f>VLOOKUP(BS$23,'Neighborhood Inputs'!$C$35:$D$39,2,FALSE)*BS28</f>
        <v>0</v>
      </c>
      <c r="BT39" s="63">
        <f>VLOOKUP(BT$23,'Neighborhood Inputs'!$C$35:$D$39,2,FALSE)*BT28</f>
        <v>0</v>
      </c>
      <c r="BU39" s="72">
        <f t="shared" si="13"/>
        <v>4439.6231472913614</v>
      </c>
      <c r="BW39" s="21" t="s">
        <v>102</v>
      </c>
      <c r="BX39" s="63">
        <f>'Neighborhood Inputs'!$H$35*BX28</f>
        <v>3314.7912655929722</v>
      </c>
      <c r="BY39" s="63">
        <f>'Neighborhood Inputs'!$H$36*BY28</f>
        <v>0</v>
      </c>
      <c r="BZ39" s="63">
        <f>VLOOKUP(BZ$23,'Neighborhood Inputs'!$C$35:$D$39,2,FALSE)*BZ28</f>
        <v>0</v>
      </c>
      <c r="CA39" s="63">
        <f>VLOOKUP(CA$23,'Neighborhood Inputs'!$C$35:$D$39,2,FALSE)*CA28</f>
        <v>0</v>
      </c>
      <c r="CB39" s="63">
        <f>VLOOKUP(CB$23,'Neighborhood Inputs'!$C$35:$D$39,2,FALSE)*CB28</f>
        <v>0</v>
      </c>
      <c r="CC39" s="72">
        <f t="shared" si="14"/>
        <v>3314.7912655929722</v>
      </c>
      <c r="CE39" s="21" t="s">
        <v>102</v>
      </c>
      <c r="CF39" s="63">
        <f>'Neighborhood Inputs'!$H$35*CF28</f>
        <v>2193.7168410613567</v>
      </c>
      <c r="CG39" s="63">
        <f>'Neighborhood Inputs'!$H$36*CG28</f>
        <v>0</v>
      </c>
      <c r="CH39" s="63">
        <f>VLOOKUP(CH$23,'Neighborhood Inputs'!$C$35:$D$39,2,FALSE)*CH28</f>
        <v>0</v>
      </c>
      <c r="CI39" s="63">
        <f>VLOOKUP(CI$23,'Neighborhood Inputs'!$C$35:$D$39,2,FALSE)*CI28</f>
        <v>0</v>
      </c>
      <c r="CJ39" s="63">
        <f>VLOOKUP(CJ$23,'Neighborhood Inputs'!$C$35:$D$39,2,FALSE)*CJ28</f>
        <v>0</v>
      </c>
      <c r="CK39" s="72">
        <f t="shared" si="15"/>
        <v>2193.7168410613567</v>
      </c>
      <c r="CM39" s="21" t="s">
        <v>102</v>
      </c>
      <c r="CN39" s="63">
        <f>'Neighborhood Inputs'!$H$35*CN28</f>
        <v>12658.874005270864</v>
      </c>
      <c r="CO39" s="63">
        <f>'Neighborhood Inputs'!$H$36*CO28</f>
        <v>0</v>
      </c>
      <c r="CP39" s="63">
        <f>VLOOKUP(CP$23,'Neighborhood Inputs'!$C$35:$D$39,2,FALSE)*CP28</f>
        <v>0</v>
      </c>
      <c r="CQ39" s="63">
        <f>VLOOKUP(CQ$23,'Neighborhood Inputs'!$C$35:$D$39,2,FALSE)*CQ28</f>
        <v>0</v>
      </c>
      <c r="CR39" s="63">
        <f>VLOOKUP(CR$23,'Neighborhood Inputs'!$C$35:$D$39,2,FALSE)*CR28</f>
        <v>0</v>
      </c>
      <c r="CS39" s="72">
        <f t="shared" si="16"/>
        <v>12658.874005270864</v>
      </c>
      <c r="CU39" s="21" t="s">
        <v>102</v>
      </c>
      <c r="CV39" s="63">
        <f>'Neighborhood Inputs'!$H$35*CV28</f>
        <v>8377.596919143818</v>
      </c>
      <c r="CW39" s="63">
        <f>'Neighborhood Inputs'!$H$36*CW28</f>
        <v>0</v>
      </c>
      <c r="CX39" s="63">
        <f>VLOOKUP(CX$23,'Neighborhood Inputs'!$C$35:$D$39,2,FALSE)*CX28</f>
        <v>0</v>
      </c>
      <c r="CY39" s="63">
        <f>VLOOKUP(CY$23,'Neighborhood Inputs'!$C$35:$D$39,2,FALSE)*CY28</f>
        <v>0</v>
      </c>
      <c r="CZ39" s="63">
        <f>VLOOKUP(CZ$23,'Neighborhood Inputs'!$C$35:$D$39,2,FALSE)*CZ28</f>
        <v>0</v>
      </c>
      <c r="DA39" s="72">
        <f t="shared" si="17"/>
        <v>8377.596919143818</v>
      </c>
      <c r="DC39" s="21" t="s">
        <v>102</v>
      </c>
      <c r="DD39" s="63">
        <f>'Neighborhood Inputs'!$H$35*DD28</f>
        <v>28332.893607027818</v>
      </c>
      <c r="DE39" s="63">
        <f>'Neighborhood Inputs'!$H$36*DE28</f>
        <v>0</v>
      </c>
      <c r="DF39" s="63">
        <f>VLOOKUP(DF$23,'Neighborhood Inputs'!$C$35:$D$39,2,FALSE)*DF28</f>
        <v>0</v>
      </c>
      <c r="DG39" s="63">
        <f>VLOOKUP(DG$23,'Neighborhood Inputs'!$C$35:$D$39,2,FALSE)*DG28</f>
        <v>0</v>
      </c>
      <c r="DH39" s="63">
        <f>VLOOKUP(DH$23,'Neighborhood Inputs'!$C$35:$D$39,2,FALSE)*DH28</f>
        <v>0</v>
      </c>
      <c r="DI39" s="72">
        <f t="shared" si="18"/>
        <v>28332.893607027818</v>
      </c>
      <c r="DK39" s="21" t="s">
        <v>102</v>
      </c>
      <c r="DL39" s="63">
        <f>'Neighborhood Inputs'!$H$35*DL28</f>
        <v>18750.606261965633</v>
      </c>
      <c r="DM39" s="63">
        <f>'Neighborhood Inputs'!$H$36*DM28</f>
        <v>0</v>
      </c>
      <c r="DN39" s="63">
        <f>VLOOKUP(DN$23,'Neighborhood Inputs'!$C$35:$D$39,2,FALSE)*DN28</f>
        <v>0</v>
      </c>
      <c r="DO39" s="63">
        <f>VLOOKUP(DO$23,'Neighborhood Inputs'!$C$35:$D$39,2,FALSE)*DO28</f>
        <v>0</v>
      </c>
      <c r="DP39" s="63">
        <f>VLOOKUP(DP$23,'Neighborhood Inputs'!$C$35:$D$39,2,FALSE)*DP28</f>
        <v>0</v>
      </c>
      <c r="DQ39" s="72">
        <f t="shared" si="19"/>
        <v>18750.606261965633</v>
      </c>
      <c r="DS39" s="21" t="s">
        <v>102</v>
      </c>
      <c r="DT39" s="63">
        <f>'Neighborhood Inputs'!$H$35*DT28</f>
        <v>42120.490370717424</v>
      </c>
      <c r="DU39" s="63">
        <f>'Neighborhood Inputs'!$H$36*DU28</f>
        <v>0</v>
      </c>
      <c r="DV39" s="63">
        <f>VLOOKUP(DV$23,'Neighborhood Inputs'!$C$35:$D$39,2,FALSE)*DV28</f>
        <v>0</v>
      </c>
      <c r="DW39" s="63">
        <f>VLOOKUP(DW$23,'Neighborhood Inputs'!$C$35:$D$39,2,FALSE)*DW28</f>
        <v>0</v>
      </c>
      <c r="DX39" s="63">
        <f>VLOOKUP(DX$23,'Neighborhood Inputs'!$C$35:$D$39,2,FALSE)*DX28</f>
        <v>0</v>
      </c>
      <c r="DY39" s="72">
        <f t="shared" si="20"/>
        <v>42120.490370717424</v>
      </c>
      <c r="EA39" s="21" t="s">
        <v>102</v>
      </c>
      <c r="EB39" s="63">
        <f>'Neighborhood Inputs'!$H$35*EB28</f>
        <v>27875.18781019724</v>
      </c>
      <c r="EC39" s="63">
        <f>'Neighborhood Inputs'!$H$36*EC28</f>
        <v>0</v>
      </c>
      <c r="ED39" s="63">
        <f>VLOOKUP(ED$23,'Neighborhood Inputs'!$C$35:$D$39,2,FALSE)*ED28</f>
        <v>0</v>
      </c>
      <c r="EE39" s="63">
        <f>VLOOKUP(EE$23,'Neighborhood Inputs'!$C$35:$D$39,2,FALSE)*EE28</f>
        <v>0</v>
      </c>
      <c r="EF39" s="63">
        <f>VLOOKUP(EF$23,'Neighborhood Inputs'!$C$35:$D$39,2,FALSE)*EF28</f>
        <v>0</v>
      </c>
      <c r="EG39" s="72">
        <f t="shared" si="21"/>
        <v>27875.18781019724</v>
      </c>
      <c r="EI39" s="21" t="s">
        <v>102</v>
      </c>
      <c r="EJ39" s="63">
        <f>'Neighborhood Inputs'!$D$35*EJ28</f>
        <v>0</v>
      </c>
      <c r="EK39" s="63">
        <f>'Neighborhood Inputs'!$D$36*EK28</f>
        <v>0</v>
      </c>
      <c r="EL39" s="63">
        <f>VLOOKUP(EL$23,'Neighborhood Inputs'!$C$35:$D$39,2,FALSE)*EL28</f>
        <v>0</v>
      </c>
      <c r="EM39" s="63">
        <f>VLOOKUP(EM$23,'Neighborhood Inputs'!$C$35:$D$39,2,FALSE)*EM28</f>
        <v>0</v>
      </c>
      <c r="EN39" s="63">
        <f>VLOOKUP(EN$23,'Neighborhood Inputs'!$C$35:$D$39,2,FALSE)*EN28</f>
        <v>0</v>
      </c>
      <c r="EO39" s="72">
        <f t="shared" si="22"/>
        <v>0</v>
      </c>
    </row>
    <row r="40" spans="2:145" ht="12.9" thickBot="1" x14ac:dyDescent="0.35">
      <c r="B40" s="197" t="s">
        <v>117</v>
      </c>
      <c r="C40" s="215">
        <f t="shared" ca="1" si="3"/>
        <v>103408.97596338436</v>
      </c>
      <c r="D40" s="216">
        <f t="shared" ca="1" si="3"/>
        <v>103408.97596338436</v>
      </c>
      <c r="E40" s="219"/>
      <c r="F40" s="219"/>
      <c r="G40" s="215">
        <f t="shared" ca="1" si="5"/>
        <v>1488.3344122986823</v>
      </c>
      <c r="H40" s="216">
        <f t="shared" ca="1" si="5"/>
        <v>1488.3344122986823</v>
      </c>
      <c r="I40" s="215">
        <f t="shared" ca="1" si="5"/>
        <v>11983.033754026355</v>
      </c>
      <c r="J40" s="216">
        <f t="shared" ca="1" si="5"/>
        <v>11983.033754026355</v>
      </c>
      <c r="K40" s="215">
        <f t="shared" ca="1" si="5"/>
        <v>11627.656310980967</v>
      </c>
      <c r="L40" s="216">
        <f t="shared" ca="1" si="5"/>
        <v>11627.656310980967</v>
      </c>
      <c r="M40" s="215">
        <f t="shared" ca="1" si="6"/>
        <v>17007.033820204979</v>
      </c>
      <c r="N40" s="216">
        <f t="shared" ca="1" si="7"/>
        <v>17007.033820204979</v>
      </c>
      <c r="O40" s="215">
        <f t="shared" ca="1" si="7"/>
        <v>17748.643898682283</v>
      </c>
      <c r="P40" s="216">
        <f t="shared" ca="1" si="7"/>
        <v>17748.643898682283</v>
      </c>
      <c r="Q40" s="215">
        <f t="shared" ca="1" si="7"/>
        <v>28122.851209370427</v>
      </c>
      <c r="R40" s="216">
        <f t="shared" ca="1" si="7"/>
        <v>28122.851209370427</v>
      </c>
      <c r="S40" s="481"/>
      <c r="U40" s="488"/>
      <c r="V40" s="618"/>
      <c r="W40" s="588"/>
      <c r="Y40" s="588"/>
      <c r="AA40" s="21" t="s">
        <v>117</v>
      </c>
      <c r="AB40" s="63">
        <f>VLOOKUP(AB$23,'Neighborhood Inputs'!$C$35:$D$39,2,FALSE)*AB29</f>
        <v>99217.974843923861</v>
      </c>
      <c r="AC40" s="63">
        <f>VLOOKUP(AC$23,'Neighborhood Inputs'!$C$35:$D$39,2,FALSE)*AC29</f>
        <v>4191.0011194605013</v>
      </c>
      <c r="AD40" s="63">
        <f>VLOOKUP(AD$23,'Neighborhood Inputs'!$C$35:$D$39,2,FALSE)*AD29</f>
        <v>0</v>
      </c>
      <c r="AE40" s="63">
        <f>VLOOKUP(AE$23,'Neighborhood Inputs'!$C$35:$D$39,2,FALSE)*AE29</f>
        <v>0</v>
      </c>
      <c r="AF40" s="63">
        <f>VLOOKUP(AF$23,'Neighborhood Inputs'!$C$35:$D$39,2,FALSE)*AF29</f>
        <v>0</v>
      </c>
      <c r="AG40" s="72">
        <f t="shared" si="8"/>
        <v>103408.97596338436</v>
      </c>
      <c r="AI40" s="21" t="s">
        <v>117</v>
      </c>
      <c r="AJ40" s="63">
        <f>VLOOKUP(AJ$23,'Neighborhood Inputs'!$C$35:$D$39,2,FALSE)*AJ29</f>
        <v>99217.974843923861</v>
      </c>
      <c r="AK40" s="63">
        <f>VLOOKUP(AK$23,'Neighborhood Inputs'!$C$35:$D$39,2,FALSE)*AK29</f>
        <v>4191.0011194605013</v>
      </c>
      <c r="AL40" s="63">
        <f>VLOOKUP(AL$23,'Neighborhood Inputs'!$C$35:$D$39,2,FALSE)*AL29</f>
        <v>0</v>
      </c>
      <c r="AM40" s="63">
        <f>VLOOKUP(AM$23,'Neighborhood Inputs'!$C$35:$D$39,2,FALSE)*AM29</f>
        <v>0</v>
      </c>
      <c r="AN40" s="63">
        <f>VLOOKUP(AN$23,'Neighborhood Inputs'!$C$35:$D$39,2,FALSE)*AN29</f>
        <v>0</v>
      </c>
      <c r="AO40" s="72">
        <f t="shared" si="9"/>
        <v>103408.97596338436</v>
      </c>
      <c r="AQ40" s="21" t="s">
        <v>117</v>
      </c>
      <c r="AR40" s="63">
        <f>'Neighborhood Inputs'!$H$35*AR29</f>
        <v>1488.3344122986823</v>
      </c>
      <c r="AS40" s="63">
        <f>'Neighborhood Inputs'!$H$36*AS29</f>
        <v>0</v>
      </c>
      <c r="AT40" s="63">
        <f>VLOOKUP(AT$23,'Neighborhood Inputs'!$C$35:$D$39,2,FALSE)*AT29</f>
        <v>0</v>
      </c>
      <c r="AU40" s="63">
        <f>VLOOKUP(AU$23,'Neighborhood Inputs'!$C$35:$D$39,2,FALSE)*AU29</f>
        <v>0</v>
      </c>
      <c r="AV40" s="63">
        <f>VLOOKUP(AV$23,'Neighborhood Inputs'!$C$35:$D$39,2,FALSE)*AV29</f>
        <v>0</v>
      </c>
      <c r="AW40" s="72">
        <f t="shared" si="10"/>
        <v>1488.3344122986823</v>
      </c>
      <c r="AY40" s="21" t="s">
        <v>117</v>
      </c>
      <c r="AZ40" s="63">
        <f>'Neighborhood Inputs'!$H$35*AZ29</f>
        <v>1488.3344122986823</v>
      </c>
      <c r="BA40" s="63">
        <f>'Neighborhood Inputs'!$H$36*BA29</f>
        <v>0</v>
      </c>
      <c r="BB40" s="63">
        <f>VLOOKUP(BB$23,'Neighborhood Inputs'!$C$35:$D$39,2,FALSE)*BB29</f>
        <v>0</v>
      </c>
      <c r="BC40" s="63">
        <f>VLOOKUP(BC$23,'Neighborhood Inputs'!$C$35:$D$39,2,FALSE)*BC29</f>
        <v>0</v>
      </c>
      <c r="BD40" s="63">
        <f>VLOOKUP(BD$23,'Neighborhood Inputs'!$C$35:$D$39,2,FALSE)*BD29</f>
        <v>0</v>
      </c>
      <c r="BE40" s="72">
        <f t="shared" si="11"/>
        <v>1488.3344122986823</v>
      </c>
      <c r="BG40" s="21" t="s">
        <v>117</v>
      </c>
      <c r="BH40" s="63">
        <f>'Neighborhood Inputs'!$H$35*BH29</f>
        <v>11983.033754026355</v>
      </c>
      <c r="BI40" s="63">
        <f>'Neighborhood Inputs'!$H$36*BI29</f>
        <v>0</v>
      </c>
      <c r="BJ40" s="63">
        <f>VLOOKUP(BJ$23,'Neighborhood Inputs'!$C$35:$D$39,2,FALSE)*BJ29</f>
        <v>0</v>
      </c>
      <c r="BK40" s="63">
        <f>VLOOKUP(BK$23,'Neighborhood Inputs'!$C$35:$D$39,2,FALSE)*BK29</f>
        <v>0</v>
      </c>
      <c r="BL40" s="63">
        <f>VLOOKUP(BL$23,'Neighborhood Inputs'!$C$35:$D$39,2,FALSE)*BL29</f>
        <v>0</v>
      </c>
      <c r="BM40" s="72">
        <f t="shared" si="12"/>
        <v>11983.033754026355</v>
      </c>
      <c r="BO40" s="21" t="s">
        <v>117</v>
      </c>
      <c r="BP40" s="63">
        <f>'Neighborhood Inputs'!$H$35*BP29</f>
        <v>11983.033754026355</v>
      </c>
      <c r="BQ40" s="63">
        <f>'Neighborhood Inputs'!$H$36*BQ29</f>
        <v>0</v>
      </c>
      <c r="BR40" s="63">
        <f>VLOOKUP(BR$23,'Neighborhood Inputs'!$C$35:$D$39,2,FALSE)*BR29</f>
        <v>0</v>
      </c>
      <c r="BS40" s="63">
        <f>VLOOKUP(BS$23,'Neighborhood Inputs'!$C$35:$D$39,2,FALSE)*BS29</f>
        <v>0</v>
      </c>
      <c r="BT40" s="63">
        <f>VLOOKUP(BT$23,'Neighborhood Inputs'!$C$35:$D$39,2,FALSE)*BT29</f>
        <v>0</v>
      </c>
      <c r="BU40" s="72">
        <f t="shared" si="13"/>
        <v>11983.033754026355</v>
      </c>
      <c r="BW40" s="21" t="s">
        <v>117</v>
      </c>
      <c r="BX40" s="63">
        <f>'Neighborhood Inputs'!$H$35*BX29</f>
        <v>11627.656310980967</v>
      </c>
      <c r="BY40" s="63">
        <f>'Neighborhood Inputs'!$H$36*BY29</f>
        <v>0</v>
      </c>
      <c r="BZ40" s="63">
        <f>VLOOKUP(BZ$23,'Neighborhood Inputs'!$C$35:$D$39,2,FALSE)*BZ29</f>
        <v>0</v>
      </c>
      <c r="CA40" s="63">
        <f>VLOOKUP(CA$23,'Neighborhood Inputs'!$C$35:$D$39,2,FALSE)*CA29</f>
        <v>0</v>
      </c>
      <c r="CB40" s="63">
        <f>VLOOKUP(CB$23,'Neighborhood Inputs'!$C$35:$D$39,2,FALSE)*CB29</f>
        <v>0</v>
      </c>
      <c r="CC40" s="72">
        <f t="shared" si="14"/>
        <v>11627.656310980967</v>
      </c>
      <c r="CE40" s="21" t="s">
        <v>117</v>
      </c>
      <c r="CF40" s="63">
        <f>'Neighborhood Inputs'!$H$35*CF29</f>
        <v>11627.656310980967</v>
      </c>
      <c r="CG40" s="63">
        <f>'Neighborhood Inputs'!$H$36*CG29</f>
        <v>0</v>
      </c>
      <c r="CH40" s="63">
        <f>VLOOKUP(CH$23,'Neighborhood Inputs'!$C$35:$D$39,2,FALSE)*CH29</f>
        <v>0</v>
      </c>
      <c r="CI40" s="63">
        <f>VLOOKUP(CI$23,'Neighborhood Inputs'!$C$35:$D$39,2,FALSE)*CI29</f>
        <v>0</v>
      </c>
      <c r="CJ40" s="63">
        <f>VLOOKUP(CJ$23,'Neighborhood Inputs'!$C$35:$D$39,2,FALSE)*CJ29</f>
        <v>0</v>
      </c>
      <c r="CK40" s="72">
        <f t="shared" si="15"/>
        <v>11627.656310980967</v>
      </c>
      <c r="CM40" s="21" t="s">
        <v>117</v>
      </c>
      <c r="CN40" s="63">
        <f>'Neighborhood Inputs'!$H$35*CN29</f>
        <v>17007.033820204979</v>
      </c>
      <c r="CO40" s="63">
        <f>'Neighborhood Inputs'!$H$36*CO29</f>
        <v>0</v>
      </c>
      <c r="CP40" s="63">
        <f>VLOOKUP(CP$23,'Neighborhood Inputs'!$C$35:$D$39,2,FALSE)*CP29</f>
        <v>0</v>
      </c>
      <c r="CQ40" s="63">
        <f>VLOOKUP(CQ$23,'Neighborhood Inputs'!$C$35:$D$39,2,FALSE)*CQ29</f>
        <v>0</v>
      </c>
      <c r="CR40" s="63">
        <f>VLOOKUP(CR$23,'Neighborhood Inputs'!$C$35:$D$39,2,FALSE)*CR29</f>
        <v>0</v>
      </c>
      <c r="CS40" s="72">
        <f t="shared" si="16"/>
        <v>17007.033820204979</v>
      </c>
      <c r="CU40" s="21" t="s">
        <v>117</v>
      </c>
      <c r="CV40" s="63">
        <f>'Neighborhood Inputs'!$H$35*CV29</f>
        <v>17007.033820204979</v>
      </c>
      <c r="CW40" s="63">
        <f>'Neighborhood Inputs'!$H$36*CW29</f>
        <v>0</v>
      </c>
      <c r="CX40" s="63">
        <f>VLOOKUP(CX$23,'Neighborhood Inputs'!$C$35:$D$39,2,FALSE)*CX29</f>
        <v>0</v>
      </c>
      <c r="CY40" s="63">
        <f>VLOOKUP(CY$23,'Neighborhood Inputs'!$C$35:$D$39,2,FALSE)*CY29</f>
        <v>0</v>
      </c>
      <c r="CZ40" s="63">
        <f>VLOOKUP(CZ$23,'Neighborhood Inputs'!$C$35:$D$39,2,FALSE)*CZ29</f>
        <v>0</v>
      </c>
      <c r="DA40" s="72">
        <f t="shared" si="17"/>
        <v>17007.033820204979</v>
      </c>
      <c r="DC40" s="21" t="s">
        <v>117</v>
      </c>
      <c r="DD40" s="63">
        <f>'Neighborhood Inputs'!$H$35*DD29</f>
        <v>17748.643898682283</v>
      </c>
      <c r="DE40" s="63">
        <f>'Neighborhood Inputs'!$H$36*DE29</f>
        <v>0</v>
      </c>
      <c r="DF40" s="63">
        <f>VLOOKUP(DF$23,'Neighborhood Inputs'!$C$35:$D$39,2,FALSE)*DF29</f>
        <v>0</v>
      </c>
      <c r="DG40" s="63">
        <f>VLOOKUP(DG$23,'Neighborhood Inputs'!$C$35:$D$39,2,FALSE)*DG29</f>
        <v>0</v>
      </c>
      <c r="DH40" s="63">
        <f>VLOOKUP(DH$23,'Neighborhood Inputs'!$C$35:$D$39,2,FALSE)*DH29</f>
        <v>0</v>
      </c>
      <c r="DI40" s="72">
        <f t="shared" si="18"/>
        <v>17748.643898682283</v>
      </c>
      <c r="DK40" s="21" t="s">
        <v>117</v>
      </c>
      <c r="DL40" s="63">
        <f>'Neighborhood Inputs'!$H$35*DL29</f>
        <v>17748.643898682283</v>
      </c>
      <c r="DM40" s="63">
        <f>'Neighborhood Inputs'!$H$36*DM29</f>
        <v>0</v>
      </c>
      <c r="DN40" s="63">
        <f>VLOOKUP(DN$23,'Neighborhood Inputs'!$C$35:$D$39,2,FALSE)*DN29</f>
        <v>0</v>
      </c>
      <c r="DO40" s="63">
        <f>VLOOKUP(DO$23,'Neighborhood Inputs'!$C$35:$D$39,2,FALSE)*DO29</f>
        <v>0</v>
      </c>
      <c r="DP40" s="63">
        <f>VLOOKUP(DP$23,'Neighborhood Inputs'!$C$35:$D$39,2,FALSE)*DP29</f>
        <v>0</v>
      </c>
      <c r="DQ40" s="72">
        <f t="shared" si="19"/>
        <v>17748.643898682283</v>
      </c>
      <c r="DS40" s="21" t="s">
        <v>117</v>
      </c>
      <c r="DT40" s="63">
        <f>'Neighborhood Inputs'!$H$35*DT29</f>
        <v>28122.851209370427</v>
      </c>
      <c r="DU40" s="63">
        <f>'Neighborhood Inputs'!$H$36*DU29</f>
        <v>0</v>
      </c>
      <c r="DV40" s="63">
        <f>VLOOKUP(DV$23,'Neighborhood Inputs'!$C$35:$D$39,2,FALSE)*DV29</f>
        <v>0</v>
      </c>
      <c r="DW40" s="63">
        <f>VLOOKUP(DW$23,'Neighborhood Inputs'!$C$35:$D$39,2,FALSE)*DW29</f>
        <v>0</v>
      </c>
      <c r="DX40" s="63">
        <f>VLOOKUP(DX$23,'Neighborhood Inputs'!$C$35:$D$39,2,FALSE)*DX29</f>
        <v>0</v>
      </c>
      <c r="DY40" s="72">
        <f t="shared" si="20"/>
        <v>28122.851209370427</v>
      </c>
      <c r="EA40" s="21" t="s">
        <v>117</v>
      </c>
      <c r="EB40" s="63">
        <f>'Neighborhood Inputs'!$H$35*EB29</f>
        <v>28122.851209370427</v>
      </c>
      <c r="EC40" s="63">
        <f>'Neighborhood Inputs'!$H$36*EC29</f>
        <v>0</v>
      </c>
      <c r="ED40" s="63">
        <f>VLOOKUP(ED$23,'Neighborhood Inputs'!$C$35:$D$39,2,FALSE)*ED29</f>
        <v>0</v>
      </c>
      <c r="EE40" s="63">
        <f>VLOOKUP(EE$23,'Neighborhood Inputs'!$C$35:$D$39,2,FALSE)*EE29</f>
        <v>0</v>
      </c>
      <c r="EF40" s="63">
        <f>VLOOKUP(EF$23,'Neighborhood Inputs'!$C$35:$D$39,2,FALSE)*EF29</f>
        <v>0</v>
      </c>
      <c r="EG40" s="72">
        <f t="shared" si="21"/>
        <v>28122.851209370427</v>
      </c>
      <c r="EI40" s="21" t="s">
        <v>117</v>
      </c>
      <c r="EJ40" s="63">
        <f>'Neighborhood Inputs'!$D$35*EJ29</f>
        <v>0</v>
      </c>
      <c r="EK40" s="63">
        <f>'Neighborhood Inputs'!$D$36*EK29</f>
        <v>0</v>
      </c>
      <c r="EL40" s="63">
        <f>VLOOKUP(EL$23,'Neighborhood Inputs'!$C$35:$D$39,2,FALSE)*EL29</f>
        <v>0</v>
      </c>
      <c r="EM40" s="63">
        <f>VLOOKUP(EM$23,'Neighborhood Inputs'!$C$35:$D$39,2,FALSE)*EM29</f>
        <v>0</v>
      </c>
      <c r="EN40" s="63">
        <f>VLOOKUP(EN$23,'Neighborhood Inputs'!$C$35:$D$39,2,FALSE)*EN29</f>
        <v>0</v>
      </c>
      <c r="EO40" s="72">
        <f t="shared" si="22"/>
        <v>0</v>
      </c>
    </row>
    <row r="41" spans="2:145" ht="12.9" thickBot="1" x14ac:dyDescent="0.35">
      <c r="B41" s="197" t="s">
        <v>95</v>
      </c>
      <c r="C41" s="215">
        <f t="shared" ca="1" si="3"/>
        <v>15273.301435452793</v>
      </c>
      <c r="D41" s="216">
        <f t="shared" ca="1" si="3"/>
        <v>15272.386874759151</v>
      </c>
      <c r="E41" s="219"/>
      <c r="F41" s="219"/>
      <c r="G41" s="215">
        <f t="shared" ca="1" si="5"/>
        <v>125.7566025145068</v>
      </c>
      <c r="H41" s="216">
        <f t="shared" ca="1" si="5"/>
        <v>125.93777466150873</v>
      </c>
      <c r="I41" s="215">
        <f t="shared" ca="1" si="5"/>
        <v>2098.2394859767896</v>
      </c>
      <c r="J41" s="216">
        <f t="shared" ca="1" si="5"/>
        <v>2097.8279608317216</v>
      </c>
      <c r="K41" s="215">
        <f t="shared" ca="1" si="5"/>
        <v>1578.6410730174084</v>
      </c>
      <c r="L41" s="216">
        <f t="shared" ca="1" si="5"/>
        <v>1578.6410730174084</v>
      </c>
      <c r="M41" s="215">
        <f t="shared" ca="1" si="6"/>
        <v>1981.2924763056096</v>
      </c>
      <c r="N41" s="216">
        <f t="shared" ca="1" si="7"/>
        <v>1981.2924763056096</v>
      </c>
      <c r="O41" s="215">
        <f t="shared" ca="1" si="7"/>
        <v>2072.4968094777564</v>
      </c>
      <c r="P41" s="216">
        <f t="shared" ca="1" si="7"/>
        <v>2072.4968094777564</v>
      </c>
      <c r="Q41" s="215">
        <f t="shared" ca="1" si="7"/>
        <v>3262.4780425531917</v>
      </c>
      <c r="R41" s="216">
        <f t="shared" ca="1" si="7"/>
        <v>3262.4780425531917</v>
      </c>
      <c r="S41" s="482"/>
      <c r="U41" s="770" t="s">
        <v>459</v>
      </c>
      <c r="V41" s="771"/>
      <c r="W41" s="771"/>
      <c r="X41" s="772"/>
      <c r="Y41" s="588"/>
      <c r="AA41" s="21" t="s">
        <v>95</v>
      </c>
      <c r="AB41" s="63">
        <f>VLOOKUP(AB$23,'Neighborhood Inputs'!$C$35:$D$39,2,FALSE)*AB30</f>
        <v>0</v>
      </c>
      <c r="AC41" s="63">
        <f>VLOOKUP(AC$23,'Neighborhood Inputs'!$C$35:$D$39,2,FALSE)*AC30</f>
        <v>15273.301435452793</v>
      </c>
      <c r="AD41" s="63">
        <f>VLOOKUP(AD$23,'Neighborhood Inputs'!$C$35:$D$39,2,FALSE)*AD30</f>
        <v>0</v>
      </c>
      <c r="AE41" s="63">
        <f>VLOOKUP(AE$23,'Neighborhood Inputs'!$C$35:$D$39,2,FALSE)*AE30</f>
        <v>0</v>
      </c>
      <c r="AF41" s="63">
        <f>VLOOKUP(AF$23,'Neighborhood Inputs'!$C$35:$D$39,2,FALSE)*AF30</f>
        <v>0</v>
      </c>
      <c r="AG41" s="72">
        <f t="shared" si="8"/>
        <v>15273.301435452793</v>
      </c>
      <c r="AI41" s="21" t="s">
        <v>95</v>
      </c>
      <c r="AJ41" s="63">
        <f>VLOOKUP(AJ$23,'Neighborhood Inputs'!$C$35:$D$39,2,FALSE)*AJ30</f>
        <v>0</v>
      </c>
      <c r="AK41" s="63">
        <f>VLOOKUP(AK$23,'Neighborhood Inputs'!$C$35:$D$39,2,FALSE)*AK30</f>
        <v>15272.386874759151</v>
      </c>
      <c r="AL41" s="63">
        <f>VLOOKUP(AL$23,'Neighborhood Inputs'!$C$35:$D$39,2,FALSE)*AL30</f>
        <v>0</v>
      </c>
      <c r="AM41" s="63">
        <f>VLOOKUP(AM$23,'Neighborhood Inputs'!$C$35:$D$39,2,FALSE)*AM30</f>
        <v>0</v>
      </c>
      <c r="AN41" s="63">
        <f>VLOOKUP(AN$23,'Neighborhood Inputs'!$C$35:$D$39,2,FALSE)*AN30</f>
        <v>0</v>
      </c>
      <c r="AO41" s="72">
        <f t="shared" si="9"/>
        <v>15272.386874759151</v>
      </c>
      <c r="AQ41" s="21" t="s">
        <v>95</v>
      </c>
      <c r="AR41" s="63">
        <f>'Neighborhood Inputs'!$H$35*AR30</f>
        <v>0</v>
      </c>
      <c r="AS41" s="63">
        <f>'Neighborhood Inputs'!$H$36*AS30</f>
        <v>125.7566025145068</v>
      </c>
      <c r="AT41" s="63">
        <f>VLOOKUP(AT$23,'Neighborhood Inputs'!$C$35:$D$39,2,FALSE)*AT30</f>
        <v>0</v>
      </c>
      <c r="AU41" s="63">
        <f>VLOOKUP(AU$23,'Neighborhood Inputs'!$C$35:$D$39,2,FALSE)*AU30</f>
        <v>0</v>
      </c>
      <c r="AV41" s="63">
        <f>VLOOKUP(AV$23,'Neighborhood Inputs'!$C$35:$D$39,2,FALSE)*AV30</f>
        <v>0</v>
      </c>
      <c r="AW41" s="72">
        <f t="shared" si="10"/>
        <v>125.7566025145068</v>
      </c>
      <c r="AY41" s="21" t="s">
        <v>95</v>
      </c>
      <c r="AZ41" s="63">
        <f>'Neighborhood Inputs'!$H$35*AZ30</f>
        <v>0</v>
      </c>
      <c r="BA41" s="63">
        <f>'Neighborhood Inputs'!$H$36*BA30</f>
        <v>125.93777466150873</v>
      </c>
      <c r="BB41" s="63">
        <f>VLOOKUP(BB$23,'Neighborhood Inputs'!$C$35:$D$39,2,FALSE)*BB30</f>
        <v>0</v>
      </c>
      <c r="BC41" s="63">
        <f>VLOOKUP(BC$23,'Neighborhood Inputs'!$C$35:$D$39,2,FALSE)*BC30</f>
        <v>0</v>
      </c>
      <c r="BD41" s="63">
        <f>VLOOKUP(BD$23,'Neighborhood Inputs'!$C$35:$D$39,2,FALSE)*BD30</f>
        <v>0</v>
      </c>
      <c r="BE41" s="72">
        <f t="shared" si="11"/>
        <v>125.93777466150873</v>
      </c>
      <c r="BG41" s="21" t="s">
        <v>95</v>
      </c>
      <c r="BH41" s="63">
        <f>'Neighborhood Inputs'!$H$35*BH30</f>
        <v>0</v>
      </c>
      <c r="BI41" s="63">
        <f>'Neighborhood Inputs'!$H$36*BI30</f>
        <v>2098.2394859767896</v>
      </c>
      <c r="BJ41" s="63">
        <f>VLOOKUP(BJ$23,'Neighborhood Inputs'!$C$35:$D$39,2,FALSE)*BJ30</f>
        <v>0</v>
      </c>
      <c r="BK41" s="63">
        <f>VLOOKUP(BK$23,'Neighborhood Inputs'!$C$35:$D$39,2,FALSE)*BK30</f>
        <v>0</v>
      </c>
      <c r="BL41" s="63">
        <f>VLOOKUP(BL$23,'Neighborhood Inputs'!$C$35:$D$39,2,FALSE)*BL30</f>
        <v>0</v>
      </c>
      <c r="BM41" s="72">
        <f t="shared" si="12"/>
        <v>2098.2394859767896</v>
      </c>
      <c r="BO41" s="21" t="s">
        <v>95</v>
      </c>
      <c r="BP41" s="63">
        <f>'Neighborhood Inputs'!$H$35*BP30</f>
        <v>0</v>
      </c>
      <c r="BQ41" s="63">
        <f>'Neighborhood Inputs'!$H$36*BQ30</f>
        <v>2097.8279608317216</v>
      </c>
      <c r="BR41" s="63">
        <f>VLOOKUP(BR$23,'Neighborhood Inputs'!$C$35:$D$39,2,FALSE)*BR30</f>
        <v>0</v>
      </c>
      <c r="BS41" s="63">
        <f>VLOOKUP(BS$23,'Neighborhood Inputs'!$C$35:$D$39,2,FALSE)*BS30</f>
        <v>0</v>
      </c>
      <c r="BT41" s="63">
        <f>VLOOKUP(BT$23,'Neighborhood Inputs'!$C$35:$D$39,2,FALSE)*BT30</f>
        <v>0</v>
      </c>
      <c r="BU41" s="72">
        <f t="shared" si="13"/>
        <v>2097.8279608317216</v>
      </c>
      <c r="BW41" s="21" t="s">
        <v>95</v>
      </c>
      <c r="BX41" s="63">
        <f>'Neighborhood Inputs'!$H$35*BX30</f>
        <v>0</v>
      </c>
      <c r="BY41" s="63">
        <f>'Neighborhood Inputs'!$H$36*BY30</f>
        <v>1578.6410730174084</v>
      </c>
      <c r="BZ41" s="63">
        <f>VLOOKUP(BZ$23,'Neighborhood Inputs'!$C$35:$D$39,2,FALSE)*BZ30</f>
        <v>0</v>
      </c>
      <c r="CA41" s="63">
        <f>VLOOKUP(CA$23,'Neighborhood Inputs'!$C$35:$D$39,2,FALSE)*CA30</f>
        <v>0</v>
      </c>
      <c r="CB41" s="63">
        <f>VLOOKUP(CB$23,'Neighborhood Inputs'!$C$35:$D$39,2,FALSE)*CB30</f>
        <v>0</v>
      </c>
      <c r="CC41" s="72">
        <f t="shared" si="14"/>
        <v>1578.6410730174084</v>
      </c>
      <c r="CE41" s="21" t="s">
        <v>95</v>
      </c>
      <c r="CF41" s="63">
        <f>'Neighborhood Inputs'!$H$35*CF30</f>
        <v>0</v>
      </c>
      <c r="CG41" s="63">
        <f>'Neighborhood Inputs'!$H$36*CG30</f>
        <v>1578.6410730174084</v>
      </c>
      <c r="CH41" s="63">
        <f>VLOOKUP(CH$23,'Neighborhood Inputs'!$C$35:$D$39,2,FALSE)*CH30</f>
        <v>0</v>
      </c>
      <c r="CI41" s="63">
        <f>VLOOKUP(CI$23,'Neighborhood Inputs'!$C$35:$D$39,2,FALSE)*CI30</f>
        <v>0</v>
      </c>
      <c r="CJ41" s="63">
        <f>VLOOKUP(CJ$23,'Neighborhood Inputs'!$C$35:$D$39,2,FALSE)*CJ30</f>
        <v>0</v>
      </c>
      <c r="CK41" s="72">
        <f t="shared" si="15"/>
        <v>1578.6410730174084</v>
      </c>
      <c r="CM41" s="21" t="s">
        <v>95</v>
      </c>
      <c r="CN41" s="63">
        <f>'Neighborhood Inputs'!$H$35*CN30</f>
        <v>0</v>
      </c>
      <c r="CO41" s="63">
        <f>'Neighborhood Inputs'!$H$36*CO30</f>
        <v>1981.2924763056096</v>
      </c>
      <c r="CP41" s="63">
        <f>VLOOKUP(CP$23,'Neighborhood Inputs'!$C$35:$D$39,2,FALSE)*CP30</f>
        <v>0</v>
      </c>
      <c r="CQ41" s="63">
        <f>VLOOKUP(CQ$23,'Neighborhood Inputs'!$C$35:$D$39,2,FALSE)*CQ30</f>
        <v>0</v>
      </c>
      <c r="CR41" s="63">
        <f>VLOOKUP(CR$23,'Neighborhood Inputs'!$C$35:$D$39,2,FALSE)*CR30</f>
        <v>0</v>
      </c>
      <c r="CS41" s="72">
        <f t="shared" si="16"/>
        <v>1981.2924763056096</v>
      </c>
      <c r="CU41" s="21" t="s">
        <v>95</v>
      </c>
      <c r="CV41" s="63">
        <f>'Neighborhood Inputs'!$H$35*CV30</f>
        <v>0</v>
      </c>
      <c r="CW41" s="63">
        <f>'Neighborhood Inputs'!$H$36*CW30</f>
        <v>1981.2924763056096</v>
      </c>
      <c r="CX41" s="63">
        <f>VLOOKUP(CX$23,'Neighborhood Inputs'!$C$35:$D$39,2,FALSE)*CX30</f>
        <v>0</v>
      </c>
      <c r="CY41" s="63">
        <f>VLOOKUP(CY$23,'Neighborhood Inputs'!$C$35:$D$39,2,FALSE)*CY30</f>
        <v>0</v>
      </c>
      <c r="CZ41" s="63">
        <f>VLOOKUP(CZ$23,'Neighborhood Inputs'!$C$35:$D$39,2,FALSE)*CZ30</f>
        <v>0</v>
      </c>
      <c r="DA41" s="72">
        <f t="shared" si="17"/>
        <v>1981.2924763056096</v>
      </c>
      <c r="DC41" s="21" t="s">
        <v>95</v>
      </c>
      <c r="DD41" s="63">
        <f>'Neighborhood Inputs'!$H$35*DD30</f>
        <v>0</v>
      </c>
      <c r="DE41" s="63">
        <f>'Neighborhood Inputs'!$H$36*DE30</f>
        <v>2072.4968094777564</v>
      </c>
      <c r="DF41" s="63">
        <f>VLOOKUP(DF$23,'Neighborhood Inputs'!$C$35:$D$39,2,FALSE)*DF30</f>
        <v>0</v>
      </c>
      <c r="DG41" s="63">
        <f>VLOOKUP(DG$23,'Neighborhood Inputs'!$C$35:$D$39,2,FALSE)*DG30</f>
        <v>0</v>
      </c>
      <c r="DH41" s="63">
        <f>VLOOKUP(DH$23,'Neighborhood Inputs'!$C$35:$D$39,2,FALSE)*DH30</f>
        <v>0</v>
      </c>
      <c r="DI41" s="72">
        <f t="shared" si="18"/>
        <v>2072.4968094777564</v>
      </c>
      <c r="DK41" s="21" t="s">
        <v>95</v>
      </c>
      <c r="DL41" s="63">
        <f>'Neighborhood Inputs'!$H$35*DL30</f>
        <v>0</v>
      </c>
      <c r="DM41" s="63">
        <f>'Neighborhood Inputs'!$H$36*DM30</f>
        <v>2072.4968094777564</v>
      </c>
      <c r="DN41" s="63">
        <f>VLOOKUP(DN$23,'Neighborhood Inputs'!$C$35:$D$39,2,FALSE)*DN30</f>
        <v>0</v>
      </c>
      <c r="DO41" s="63">
        <f>VLOOKUP(DO$23,'Neighborhood Inputs'!$C$35:$D$39,2,FALSE)*DO30</f>
        <v>0</v>
      </c>
      <c r="DP41" s="63">
        <f>VLOOKUP(DP$23,'Neighborhood Inputs'!$C$35:$D$39,2,FALSE)*DP30</f>
        <v>0</v>
      </c>
      <c r="DQ41" s="72">
        <f t="shared" si="19"/>
        <v>2072.4968094777564</v>
      </c>
      <c r="DS41" s="21" t="s">
        <v>95</v>
      </c>
      <c r="DT41" s="63">
        <f>'Neighborhood Inputs'!$H$35*DT30</f>
        <v>0</v>
      </c>
      <c r="DU41" s="63">
        <f>'Neighborhood Inputs'!$H$36*DU30</f>
        <v>3262.4780425531917</v>
      </c>
      <c r="DV41" s="63">
        <f>VLOOKUP(DV$23,'Neighborhood Inputs'!$C$35:$D$39,2,FALSE)*DV30</f>
        <v>0</v>
      </c>
      <c r="DW41" s="63">
        <f>VLOOKUP(DW$23,'Neighborhood Inputs'!$C$35:$D$39,2,FALSE)*DW30</f>
        <v>0</v>
      </c>
      <c r="DX41" s="63">
        <f>VLOOKUP(DX$23,'Neighborhood Inputs'!$C$35:$D$39,2,FALSE)*DX30</f>
        <v>0</v>
      </c>
      <c r="DY41" s="72">
        <f t="shared" si="20"/>
        <v>3262.4780425531917</v>
      </c>
      <c r="EA41" s="21" t="s">
        <v>95</v>
      </c>
      <c r="EB41" s="63">
        <f>'Neighborhood Inputs'!$H$35*EB30</f>
        <v>0</v>
      </c>
      <c r="EC41" s="63">
        <f>'Neighborhood Inputs'!$H$36*EC30</f>
        <v>3262.4780425531917</v>
      </c>
      <c r="ED41" s="63">
        <f>VLOOKUP(ED$23,'Neighborhood Inputs'!$C$35:$D$39,2,FALSE)*ED30</f>
        <v>0</v>
      </c>
      <c r="EE41" s="63">
        <f>VLOOKUP(EE$23,'Neighborhood Inputs'!$C$35:$D$39,2,FALSE)*EE30</f>
        <v>0</v>
      </c>
      <c r="EF41" s="63">
        <f>VLOOKUP(EF$23,'Neighborhood Inputs'!$C$35:$D$39,2,FALSE)*EF30</f>
        <v>0</v>
      </c>
      <c r="EG41" s="72">
        <f t="shared" si="21"/>
        <v>3262.4780425531917</v>
      </c>
      <c r="EI41" s="21" t="s">
        <v>95</v>
      </c>
      <c r="EJ41" s="63">
        <f>'Neighborhood Inputs'!$D$35*EJ30</f>
        <v>0</v>
      </c>
      <c r="EK41" s="63">
        <f>'Neighborhood Inputs'!$D$36*EK30</f>
        <v>0</v>
      </c>
      <c r="EL41" s="63">
        <f>VLOOKUP(EL$23,'Neighborhood Inputs'!$C$35:$D$39,2,FALSE)*EL30</f>
        <v>0</v>
      </c>
      <c r="EM41" s="63">
        <f>VLOOKUP(EM$23,'Neighborhood Inputs'!$C$35:$D$39,2,FALSE)*EM30</f>
        <v>0</v>
      </c>
      <c r="EN41" s="63">
        <f>VLOOKUP(EN$23,'Neighborhood Inputs'!$C$35:$D$39,2,FALSE)*EN30</f>
        <v>0</v>
      </c>
      <c r="EO41" s="72">
        <f t="shared" si="22"/>
        <v>0</v>
      </c>
    </row>
    <row r="42" spans="2:145" ht="12.9" thickBot="1" x14ac:dyDescent="0.35">
      <c r="B42" s="213" t="s">
        <v>120</v>
      </c>
      <c r="C42" s="217">
        <f t="shared" ca="1" si="3"/>
        <v>477465.06980299368</v>
      </c>
      <c r="D42" s="218">
        <f t="shared" ca="1" si="3"/>
        <v>465189.19457547873</v>
      </c>
      <c r="E42" s="220">
        <f ca="1">D42*(1-'Homes - 2022'!P55)</f>
        <v>421020.15049393731</v>
      </c>
      <c r="F42" s="220">
        <f ca="1">(C42*(1-'Homes w PV'!R69))-(D42-E42)</f>
        <v>110920.34207500584</v>
      </c>
      <c r="G42" s="217">
        <f t="shared" ca="1" si="5"/>
        <v>9001.4196047193382</v>
      </c>
      <c r="H42" s="218">
        <f t="shared" ca="1" si="5"/>
        <v>8083.3994718796648</v>
      </c>
      <c r="I42" s="217">
        <f t="shared" ca="1" si="5"/>
        <v>65374.02983602621</v>
      </c>
      <c r="J42" s="218">
        <f t="shared" ca="1" si="5"/>
        <v>73149.594681915187</v>
      </c>
      <c r="K42" s="217">
        <f t="shared" ca="1" si="5"/>
        <v>39189.921385380658</v>
      </c>
      <c r="L42" s="218">
        <f t="shared" ca="1" si="5"/>
        <v>43889.839655589931</v>
      </c>
      <c r="M42" s="217">
        <f ca="1">OFFSET($AA42,0,(6+8*M$22))</f>
        <v>63421.240383887227</v>
      </c>
      <c r="N42" s="218">
        <f t="shared" ca="1" si="7"/>
        <v>66674.363993607083</v>
      </c>
      <c r="O42" s="217">
        <f t="shared" ca="1" si="7"/>
        <v>73280.091310861171</v>
      </c>
      <c r="P42" s="218">
        <f t="shared" ca="1" si="7"/>
        <v>71869.444187560744</v>
      </c>
      <c r="Q42" s="217">
        <f t="shared" ca="1" si="7"/>
        <v>111466.26318682</v>
      </c>
      <c r="R42" s="218">
        <f t="shared" ca="1" si="7"/>
        <v>112522.5392959513</v>
      </c>
      <c r="S42" s="483">
        <f>D58</f>
        <v>41648.530083455342</v>
      </c>
      <c r="U42" s="632">
        <f ca="1">C42+G42+I42+K42+M42+O42+Q42</f>
        <v>839198.03551068821</v>
      </c>
      <c r="V42" s="632">
        <f ca="1">D42+H42+J42+L42+N42+P42+R42+S42</f>
        <v>883026.90594543796</v>
      </c>
      <c r="W42" s="633">
        <f ca="1">E42+H42+J42+L42+N42+P42+R42+S42</f>
        <v>838857.86186389648</v>
      </c>
      <c r="X42" s="634">
        <f ca="1">F42+H42+J42+L42+N42+P42+R42+S42</f>
        <v>528758.05344496516</v>
      </c>
      <c r="Y42" s="624"/>
      <c r="Z42" s="551"/>
      <c r="AA42" s="92" t="s">
        <v>120</v>
      </c>
      <c r="AB42" s="63">
        <f>VLOOKUP(AB23,'Neighborhood Inputs'!$C$35:$D$39,2,FALSE)*AB31</f>
        <v>330785.66997833084</v>
      </c>
      <c r="AC42" s="63">
        <f>VLOOKUP(AC23,'Neighborhood Inputs'!$C$35:$D$39,2,FALSE)*AC31</f>
        <v>146679.39982466283</v>
      </c>
      <c r="AD42" s="63">
        <f>VLOOKUP(AD23,'Neighborhood Inputs'!$C$35:$D$39,2,FALSE)*AD31</f>
        <v>0</v>
      </c>
      <c r="AE42" s="63">
        <f>VLOOKUP(AE23,'Neighborhood Inputs'!$C$35:$D$39,2,FALSE)*AE31</f>
        <v>0</v>
      </c>
      <c r="AF42" s="63">
        <f>VLOOKUP(AF23,'Neighborhood Inputs'!$C$35:$D$39,2,FALSE)*AF31</f>
        <v>0</v>
      </c>
      <c r="AG42" s="72">
        <f t="shared" si="8"/>
        <v>477465.06980299368</v>
      </c>
      <c r="AI42" s="92" t="s">
        <v>120</v>
      </c>
      <c r="AJ42" s="63">
        <f>VLOOKUP(AJ23,'Neighborhood Inputs'!$C$35:$D$39,2,FALSE)*AJ31</f>
        <v>445725.80658125906</v>
      </c>
      <c r="AK42" s="63">
        <f>VLOOKUP(AK23,'Neighborhood Inputs'!$C$35:$D$39,2,FALSE)*AK31</f>
        <v>19463.387994219651</v>
      </c>
      <c r="AL42" s="63">
        <f>VLOOKUP(AL23,'Neighborhood Inputs'!$C$35:$D$39,2,FALSE)*AL31</f>
        <v>0</v>
      </c>
      <c r="AM42" s="63">
        <f>VLOOKUP(AM23,'Neighborhood Inputs'!$C$35:$D$39,2,FALSE)*AM31</f>
        <v>0</v>
      </c>
      <c r="AN42" s="63">
        <f>VLOOKUP(AN23,'Neighborhood Inputs'!$C$35:$D$39,2,FALSE)*AN31</f>
        <v>0</v>
      </c>
      <c r="AO42" s="72">
        <f t="shared" si="9"/>
        <v>465189.19457547873</v>
      </c>
      <c r="AQ42" s="92" t="s">
        <v>120</v>
      </c>
      <c r="AR42" s="63">
        <f>'Neighborhood Inputs'!$H$35*AR31</f>
        <v>5810.9105452415815</v>
      </c>
      <c r="AS42" s="63">
        <f>'Neighborhood Inputs'!$H$36*AS31</f>
        <v>3190.5090594777566</v>
      </c>
      <c r="AT42" s="63">
        <f>VLOOKUP(AT23,'Neighborhood Inputs'!$C$35:$D$39,2,FALSE)*AT31</f>
        <v>0</v>
      </c>
      <c r="AU42" s="63">
        <f>VLOOKUP(AU23,'Neighborhood Inputs'!$C$35:$D$39,2,FALSE)*AU31</f>
        <v>0</v>
      </c>
      <c r="AV42" s="63">
        <f>VLOOKUP(AV23,'Neighborhood Inputs'!$C$35:$D$39,2,FALSE)*AV31</f>
        <v>0</v>
      </c>
      <c r="AW42" s="72">
        <f t="shared" si="10"/>
        <v>9001.4196047193382</v>
      </c>
      <c r="AY42" s="92" t="s">
        <v>120</v>
      </c>
      <c r="AZ42" s="63">
        <f>'Neighborhood Inputs'!$H$35*AZ31</f>
        <v>7957.4616972181557</v>
      </c>
      <c r="BA42" s="63">
        <f>'Neighborhood Inputs'!$H$36*BA31</f>
        <v>125.93777466150873</v>
      </c>
      <c r="BB42" s="63">
        <f>VLOOKUP(BB23,'Neighborhood Inputs'!$C$35:$D$39,2,FALSE)*BB31</f>
        <v>0</v>
      </c>
      <c r="BC42" s="63">
        <f>VLOOKUP(BC23,'Neighborhood Inputs'!$C$35:$D$39,2,FALSE)*BC31</f>
        <v>0</v>
      </c>
      <c r="BD42" s="63">
        <f>VLOOKUP(BD23,'Neighborhood Inputs'!$C$35:$D$39,2,FALSE)*BD31</f>
        <v>0</v>
      </c>
      <c r="BE42" s="72">
        <f t="shared" si="11"/>
        <v>8083.3994718796648</v>
      </c>
      <c r="BG42" s="92" t="s">
        <v>120</v>
      </c>
      <c r="BH42" s="63">
        <f>'Neighborhood Inputs'!$H$35*BH31</f>
        <v>46809.664879062955</v>
      </c>
      <c r="BI42" s="63">
        <f>'Neighborhood Inputs'!$H$36*BI31</f>
        <v>18564.364956963251</v>
      </c>
      <c r="BJ42" s="63">
        <f>VLOOKUP(BJ23,'Neighborhood Inputs'!$C$35:$D$39,2,FALSE)*BJ31</f>
        <v>0</v>
      </c>
      <c r="BK42" s="63">
        <f>VLOOKUP(BK23,'Neighborhood Inputs'!$C$35:$D$39,2,FALSE)*BK31</f>
        <v>0</v>
      </c>
      <c r="BL42" s="63">
        <f>VLOOKUP(BL23,'Neighborhood Inputs'!$C$35:$D$39,2,FALSE)*BL31</f>
        <v>0</v>
      </c>
      <c r="BM42" s="72">
        <f t="shared" si="12"/>
        <v>65374.02983602621</v>
      </c>
      <c r="BO42" s="92" t="s">
        <v>120</v>
      </c>
      <c r="BP42" s="63">
        <f>'Neighborhood Inputs'!$H$35*BP31</f>
        <v>71051.766721083462</v>
      </c>
      <c r="BQ42" s="63">
        <f>'Neighborhood Inputs'!$H$36*BQ31</f>
        <v>2097.8279608317216</v>
      </c>
      <c r="BR42" s="63">
        <f>VLOOKUP(BR23,'Neighborhood Inputs'!$C$35:$D$39,2,FALSE)*BR31</f>
        <v>0</v>
      </c>
      <c r="BS42" s="63">
        <f>VLOOKUP(BS23,'Neighborhood Inputs'!$C$35:$D$39,2,FALSE)*BS31</f>
        <v>0</v>
      </c>
      <c r="BT42" s="63">
        <f>VLOOKUP(BT23,'Neighborhood Inputs'!$C$35:$D$39,2,FALSE)*BT31</f>
        <v>0</v>
      </c>
      <c r="BU42" s="72">
        <f t="shared" si="13"/>
        <v>73149.594681915187</v>
      </c>
      <c r="BW42" s="92" t="s">
        <v>120</v>
      </c>
      <c r="BX42" s="63">
        <f>'Neighborhood Inputs'!$H$35*BX31</f>
        <v>28251.268019326497</v>
      </c>
      <c r="BY42" s="63">
        <f>'Neighborhood Inputs'!$H$36*BY31</f>
        <v>10938.653366054159</v>
      </c>
      <c r="BZ42" s="63">
        <f>VLOOKUP(BZ23,'Neighborhood Inputs'!$C$35:$D$39,2,FALSE)*BZ31</f>
        <v>0</v>
      </c>
      <c r="CA42" s="63">
        <f>VLOOKUP(CA23,'Neighborhood Inputs'!$C$35:$D$39,2,FALSE)*CA31</f>
        <v>0</v>
      </c>
      <c r="CB42" s="63">
        <f>VLOOKUP(CB23,'Neighborhood Inputs'!$C$35:$D$39,2,FALSE)*CB31</f>
        <v>0</v>
      </c>
      <c r="CC42" s="72">
        <f t="shared" si="14"/>
        <v>39189.921385380658</v>
      </c>
      <c r="CE42" s="92" t="s">
        <v>120</v>
      </c>
      <c r="CF42" s="63">
        <f>'Neighborhood Inputs'!$H$35*CF31</f>
        <v>42311.198582572521</v>
      </c>
      <c r="CG42" s="63">
        <f>'Neighborhood Inputs'!$H$36*CG31</f>
        <v>1578.6410730174084</v>
      </c>
      <c r="CH42" s="63">
        <f>VLOOKUP(CH23,'Neighborhood Inputs'!$C$35:$D$39,2,FALSE)*CH31</f>
        <v>0</v>
      </c>
      <c r="CI42" s="63">
        <f>VLOOKUP(CI23,'Neighborhood Inputs'!$C$35:$D$39,2,FALSE)*CI31</f>
        <v>0</v>
      </c>
      <c r="CJ42" s="63">
        <f>VLOOKUP(CJ23,'Neighborhood Inputs'!$C$35:$D$39,2,FALSE)*CJ31</f>
        <v>0</v>
      </c>
      <c r="CK42" s="72">
        <f t="shared" si="15"/>
        <v>43889.839655589931</v>
      </c>
      <c r="CM42" s="92" t="s">
        <v>120</v>
      </c>
      <c r="CN42" s="63">
        <f>'Neighborhood Inputs'!$H$35*CN31</f>
        <v>47814.448035724745</v>
      </c>
      <c r="CO42" s="63">
        <f>'Neighborhood Inputs'!$H$36*CO31</f>
        <v>15606.792348162478</v>
      </c>
      <c r="CP42" s="63">
        <f>VLOOKUP(CP23,'Neighborhood Inputs'!$C$35:$D$39,2,FALSE)*CP31</f>
        <v>0</v>
      </c>
      <c r="CQ42" s="63">
        <f>VLOOKUP(CQ23,'Neighborhood Inputs'!$C$35:$D$39,2,FALSE)*CQ31</f>
        <v>0</v>
      </c>
      <c r="CR42" s="63">
        <f>VLOOKUP(CR23,'Neighborhood Inputs'!$C$35:$D$39,2,FALSE)*CR31</f>
        <v>0</v>
      </c>
      <c r="CS42" s="72">
        <f t="shared" si="16"/>
        <v>63421.240383887227</v>
      </c>
      <c r="CU42" s="92" t="s">
        <v>120</v>
      </c>
      <c r="CV42" s="63">
        <f>'Neighborhood Inputs'!$H$35*CV31</f>
        <v>64693.071517301469</v>
      </c>
      <c r="CW42" s="63">
        <f>'Neighborhood Inputs'!$H$36*CW31</f>
        <v>1981.2924763056096</v>
      </c>
      <c r="CX42" s="63">
        <f>VLOOKUP(CX23,'Neighborhood Inputs'!$C$35:$D$39,2,FALSE)*CX31</f>
        <v>0</v>
      </c>
      <c r="CY42" s="63">
        <f>VLOOKUP(CY23,'Neighborhood Inputs'!$C$35:$D$39,2,FALSE)*CY31</f>
        <v>0</v>
      </c>
      <c r="CZ42" s="63">
        <f>VLOOKUP(CZ23,'Neighborhood Inputs'!$C$35:$D$39,2,FALSE)*CZ31</f>
        <v>0</v>
      </c>
      <c r="DA42" s="72">
        <f t="shared" si="17"/>
        <v>66674.363993607083</v>
      </c>
      <c r="DC42" s="92" t="s">
        <v>120</v>
      </c>
      <c r="DD42" s="63">
        <f>'Neighborhood Inputs'!$H$35*DD31</f>
        <v>59058.582992679352</v>
      </c>
      <c r="DE42" s="63">
        <f>'Neighborhood Inputs'!$H$36*DE31</f>
        <v>14221.508318181821</v>
      </c>
      <c r="DF42" s="63">
        <f>VLOOKUP(DF23,'Neighborhood Inputs'!$C$35:$D$39,2,FALSE)*DF31</f>
        <v>0</v>
      </c>
      <c r="DG42" s="63">
        <f>VLOOKUP(DG23,'Neighborhood Inputs'!$C$35:$D$39,2,FALSE)*DG31</f>
        <v>0</v>
      </c>
      <c r="DH42" s="63">
        <f>VLOOKUP(DH23,'Neighborhood Inputs'!$C$35:$D$39,2,FALSE)*DH31</f>
        <v>0</v>
      </c>
      <c r="DI42" s="72">
        <f t="shared" si="18"/>
        <v>73280.091310861171</v>
      </c>
      <c r="DK42" s="92" t="s">
        <v>120</v>
      </c>
      <c r="DL42" s="63">
        <f>'Neighborhood Inputs'!$H$35*DL31</f>
        <v>69796.947378082987</v>
      </c>
      <c r="DM42" s="63">
        <f>'Neighborhood Inputs'!$H$36*DM31</f>
        <v>2072.4968094777564</v>
      </c>
      <c r="DN42" s="63">
        <f>VLOOKUP(DN23,'Neighborhood Inputs'!$C$35:$D$39,2,FALSE)*DN31</f>
        <v>0</v>
      </c>
      <c r="DO42" s="63">
        <f>VLOOKUP(DO23,'Neighborhood Inputs'!$C$35:$D$39,2,FALSE)*DO31</f>
        <v>0</v>
      </c>
      <c r="DP42" s="63">
        <f>VLOOKUP(DP23,'Neighborhood Inputs'!$C$35:$D$39,2,FALSE)*DP31</f>
        <v>0</v>
      </c>
      <c r="DQ42" s="72">
        <f t="shared" si="19"/>
        <v>71869.444187560744</v>
      </c>
      <c r="DS42" s="92" t="s">
        <v>120</v>
      </c>
      <c r="DT42" s="63">
        <f>'Neighborhood Inputs'!$H$35*DT31</f>
        <v>84773.823975988271</v>
      </c>
      <c r="DU42" s="63">
        <f>'Neighborhood Inputs'!$H$36*DU31</f>
        <v>26692.439210831722</v>
      </c>
      <c r="DV42" s="63">
        <f>VLOOKUP(DV23,'Neighborhood Inputs'!$C$35:$D$39,2,FALSE)*DV31</f>
        <v>0</v>
      </c>
      <c r="DW42" s="63">
        <f>VLOOKUP(DW23,'Neighborhood Inputs'!$C$35:$D$39,2,FALSE)*DW31</f>
        <v>0</v>
      </c>
      <c r="DX42" s="63">
        <f>VLOOKUP(DX23,'Neighborhood Inputs'!$C$35:$D$39,2,FALSE)*DX31</f>
        <v>0</v>
      </c>
      <c r="DY42" s="72">
        <f t="shared" si="20"/>
        <v>111466.26318682</v>
      </c>
      <c r="EA42" s="92" t="s">
        <v>120</v>
      </c>
      <c r="EB42" s="63">
        <f>'Neighborhood Inputs'!$H$35*EB31</f>
        <v>109260.0612533981</v>
      </c>
      <c r="EC42" s="63">
        <f>'Neighborhood Inputs'!$H$36*EC31</f>
        <v>3262.4780425531917</v>
      </c>
      <c r="ED42" s="63">
        <f>VLOOKUP(ED23,'Neighborhood Inputs'!$C$35:$D$39,2,FALSE)*ED31</f>
        <v>0</v>
      </c>
      <c r="EE42" s="63">
        <f>VLOOKUP(EE23,'Neighborhood Inputs'!$C$35:$D$39,2,FALSE)*EE31</f>
        <v>0</v>
      </c>
      <c r="EF42" s="63">
        <f>VLOOKUP(EF23,'Neighborhood Inputs'!$C$35:$D$39,2,FALSE)*EF31</f>
        <v>0</v>
      </c>
      <c r="EG42" s="72">
        <f t="shared" si="21"/>
        <v>112522.5392959513</v>
      </c>
      <c r="EI42" s="92" t="s">
        <v>120</v>
      </c>
      <c r="EJ42" s="63">
        <f>'Neighborhood Inputs'!$D$35*EJ31</f>
        <v>41648.530083455342</v>
      </c>
      <c r="EK42" s="63">
        <f>'Neighborhood Inputs'!$D$36*EK31</f>
        <v>0</v>
      </c>
      <c r="EL42" s="63">
        <f>VLOOKUP(EL23,'Neighborhood Inputs'!$C$35:$D$39,2,FALSE)*EL31</f>
        <v>0</v>
      </c>
      <c r="EM42" s="63">
        <f>VLOOKUP(EM23,'Neighborhood Inputs'!$C$35:$D$39,2,FALSE)*EM31</f>
        <v>0</v>
      </c>
      <c r="EN42" s="63">
        <f>VLOOKUP(EN23,'Neighborhood Inputs'!$C$35:$D$39,2,FALSE)*EN31</f>
        <v>0</v>
      </c>
      <c r="EO42" s="72">
        <f t="shared" si="22"/>
        <v>41648.530083455342</v>
      </c>
    </row>
    <row r="43" spans="2:145" ht="12.9" thickBot="1" x14ac:dyDescent="0.35">
      <c r="C43" s="656" t="s">
        <v>119</v>
      </c>
      <c r="D43" s="108">
        <f ca="1">$C$42-D42</f>
        <v>12275.875227514945</v>
      </c>
      <c r="E43" s="108">
        <f t="shared" ref="E43:F43" ca="1" si="23">$C$42-E42</f>
        <v>56444.919309056364</v>
      </c>
      <c r="F43" s="108">
        <f t="shared" ca="1" si="23"/>
        <v>366544.7277279878</v>
      </c>
      <c r="G43" s="656" t="s">
        <v>119</v>
      </c>
      <c r="H43" s="108">
        <f ca="1">$G$42-H42</f>
        <v>918.02013283967335</v>
      </c>
      <c r="I43" s="656" t="s">
        <v>119</v>
      </c>
      <c r="J43" s="108">
        <f ca="1">$I$42-J42</f>
        <v>-7775.5648458889773</v>
      </c>
      <c r="K43" s="656" t="s">
        <v>119</v>
      </c>
      <c r="L43" s="108">
        <f ca="1">$K$42-L42</f>
        <v>-4699.918270209273</v>
      </c>
      <c r="M43" s="656" t="s">
        <v>119</v>
      </c>
      <c r="N43" s="108">
        <f ca="1">$M$42-N42</f>
        <v>-3253.1236097198562</v>
      </c>
      <c r="O43" s="656" t="s">
        <v>119</v>
      </c>
      <c r="P43" s="108">
        <f ca="1">$O$42-P42</f>
        <v>1410.6471233004268</v>
      </c>
      <c r="Q43" s="656" t="s">
        <v>119</v>
      </c>
      <c r="R43" s="108">
        <f ca="1">$Q$42-R42</f>
        <v>-1056.2761091313005</v>
      </c>
      <c r="S43" s="484"/>
      <c r="U43" s="778" t="s">
        <v>119</v>
      </c>
      <c r="V43" s="629">
        <f ca="1">U42-V42</f>
        <v>-43828.870434749755</v>
      </c>
      <c r="W43" s="631">
        <f ca="1">U42-W42</f>
        <v>340.17364679172169</v>
      </c>
      <c r="X43" s="630">
        <f ca="1">U42-X42</f>
        <v>310439.98206572304</v>
      </c>
      <c r="Y43" s="625"/>
      <c r="Z43" s="587"/>
    </row>
    <row r="44" spans="2:145" ht="12.9" thickBot="1" x14ac:dyDescent="0.35">
      <c r="B44" s="20"/>
      <c r="C44" s="657">
        <v>0</v>
      </c>
      <c r="D44" s="127">
        <f t="shared" ref="D44:E44" ca="1" si="24">1-D42/$C$42</f>
        <v>2.5710520002185877E-2</v>
      </c>
      <c r="E44" s="127">
        <f t="shared" ca="1" si="24"/>
        <v>0.11821790300250867</v>
      </c>
      <c r="F44" s="127">
        <f ca="1">1-F42/$C$42</f>
        <v>0.76768909583108869</v>
      </c>
      <c r="G44" s="657"/>
      <c r="H44" s="127">
        <f ca="1">1-H42/$G$42</f>
        <v>0.10198615031326463</v>
      </c>
      <c r="I44" s="657"/>
      <c r="J44" s="127">
        <f ca="1">1-J42/$I$42</f>
        <v>-0.1189396594548624</v>
      </c>
      <c r="K44" s="657"/>
      <c r="L44" s="127">
        <f ca="1">1-L42/$K$42</f>
        <v>-0.11992670829808105</v>
      </c>
      <c r="M44" s="657"/>
      <c r="N44" s="127">
        <f ca="1">1-N42/$M$42</f>
        <v>-5.1293913364493848E-2</v>
      </c>
      <c r="O44" s="657"/>
      <c r="P44" s="127">
        <f ca="1">1-P42/$O$42</f>
        <v>1.9250073219973518E-2</v>
      </c>
      <c r="Q44" s="657"/>
      <c r="R44" s="127">
        <f ca="1">1-R42/$Q$42</f>
        <v>-9.4761955674511622E-3</v>
      </c>
      <c r="S44" s="479"/>
      <c r="U44" s="780"/>
      <c r="V44" s="635">
        <f ca="1">1-(V42/U42)</f>
        <v>-5.2227088935066446E-2</v>
      </c>
      <c r="W44" s="635">
        <f ca="1">1-(W42/U42)</f>
        <v>4.0535562810839476E-4</v>
      </c>
      <c r="X44" s="635">
        <f ca="1">1-(X42/U42)</f>
        <v>0.36992458148070728</v>
      </c>
      <c r="Y44" s="588"/>
    </row>
    <row r="45" spans="2:145" ht="12.9" thickBot="1" x14ac:dyDescent="0.35">
      <c r="U45" s="775" t="s">
        <v>460</v>
      </c>
      <c r="V45" s="776"/>
      <c r="W45" s="776"/>
      <c r="X45" s="777"/>
      <c r="Y45" s="591"/>
      <c r="Z45" s="20"/>
    </row>
    <row r="46" spans="2:145" ht="12.9" thickBot="1" x14ac:dyDescent="0.35">
      <c r="B46" s="222" t="s">
        <v>121</v>
      </c>
      <c r="C46" s="388">
        <f ca="1">OFFSET($AA46,0,(6+8*C$22))</f>
        <v>2083.251701551852</v>
      </c>
      <c r="D46" s="389">
        <f ca="1">OFFSET($AA46,0,(6+8*D$22))</f>
        <v>1611.6938489855152</v>
      </c>
      <c r="E46" s="550">
        <f ca="1">D46*(1-'Homes - 2022'!P57)</f>
        <v>1465.0048420653025</v>
      </c>
      <c r="F46" s="550">
        <f ca="1">(C46*(1-'Homes w PV'!AF60))-(D46-E46)</f>
        <v>365.20766871887497</v>
      </c>
      <c r="G46" s="388">
        <f t="shared" ref="G46:R46" ca="1" si="25">OFFSET($AA46,0,(6+8*G$22))</f>
        <v>47.833682837939136</v>
      </c>
      <c r="H46" s="389">
        <f t="shared" ca="1" si="25"/>
        <v>42.365852390701377</v>
      </c>
      <c r="I46" s="388">
        <f t="shared" ca="1" si="25"/>
        <v>346.4071733234295</v>
      </c>
      <c r="J46" s="389">
        <f t="shared" ca="1" si="25"/>
        <v>383.59005814591279</v>
      </c>
      <c r="K46" s="388">
        <f t="shared" ca="1" si="25"/>
        <v>207.62058868092058</v>
      </c>
      <c r="L46" s="389">
        <f t="shared" ca="1" si="25"/>
        <v>230.22331907392874</v>
      </c>
      <c r="M46" s="388">
        <f t="shared" ca="1" si="25"/>
        <v>335.54251491514231</v>
      </c>
      <c r="N46" s="389">
        <f t="shared" ca="1" si="25"/>
        <v>349.6494003385539</v>
      </c>
      <c r="O46" s="388">
        <f t="shared" ca="1" si="25"/>
        <v>386.88251519724548</v>
      </c>
      <c r="P46" s="389">
        <f t="shared" ca="1" si="25"/>
        <v>376.87951053781728</v>
      </c>
      <c r="Q46" s="388">
        <f t="shared" ca="1" si="25"/>
        <v>589.57546183426678</v>
      </c>
      <c r="R46" s="389">
        <f t="shared" ca="1" si="25"/>
        <v>590.06596314909405</v>
      </c>
      <c r="S46" s="485">
        <f>D57*'Neighborhood Inputs'!E42</f>
        <v>138.3949491515161</v>
      </c>
      <c r="U46" s="636">
        <f ca="1">C46+G46+I46+K46+M46+O46+Q46</f>
        <v>3997.1136383407961</v>
      </c>
      <c r="V46" s="637">
        <f ca="1">D46+H46+J46+L46+N46+P46+R46+S46</f>
        <v>3722.8629017730386</v>
      </c>
      <c r="W46" s="637">
        <f ca="1">E46+H46+J46+L46+N46+P46+R46+S46</f>
        <v>3576.1738948528259</v>
      </c>
      <c r="X46" s="638">
        <f ca="1">F46+H46+J46+L46+N46+P46+R46+S46</f>
        <v>2476.376721506399</v>
      </c>
      <c r="Y46" s="640">
        <v>993.2</v>
      </c>
      <c r="Z46" s="233"/>
      <c r="AA46" s="94" t="s">
        <v>121</v>
      </c>
      <c r="AB46" s="16">
        <f>VLOOKUP(AB$23,'Neighborhood Inputs'!$C$42:$E$46,3,FALSE)*AB31</f>
        <v>1099.1760305818518</v>
      </c>
      <c r="AC46" s="16">
        <f>VLOOKUP(AC$23,'Neighborhood Inputs'!$C$42:$E$46,3,FALSE)*AC31</f>
        <v>984.07567097000015</v>
      </c>
      <c r="AD46" s="16">
        <f>VLOOKUP(AD$23,'Neighborhood Inputs'!$C$42:$E$46,3,FALSE)*AD31</f>
        <v>0</v>
      </c>
      <c r="AE46" s="16">
        <f>VLOOKUP(AE$23,'Neighborhood Inputs'!$C$42:$E$46,3,FALSE)*AE31</f>
        <v>0</v>
      </c>
      <c r="AF46" s="16">
        <f>VLOOKUP(AF$23,'Neighborhood Inputs'!$C$42:$E$46,3,FALSE)*AF31</f>
        <v>0</v>
      </c>
      <c r="AG46" s="95">
        <f>SUMIF(AB46:AF46,"&lt;&gt;#N/A")</f>
        <v>2083.251701551852</v>
      </c>
      <c r="AI46" s="94" t="s">
        <v>121</v>
      </c>
      <c r="AJ46" s="16">
        <f>VLOOKUP(AJ$23,'Neighborhood Inputs'!$C$42:$E$46,3,FALSE)*AJ31</f>
        <v>1481.1135042155151</v>
      </c>
      <c r="AK46" s="16">
        <f>VLOOKUP(AK$23,'Neighborhood Inputs'!$C$42:$E$46,3,FALSE)*AK31</f>
        <v>130.58034476999998</v>
      </c>
      <c r="AL46" s="16">
        <f>VLOOKUP(AL$23,'Neighborhood Inputs'!$C$42:$E$46,3,FALSE)*AL31</f>
        <v>0</v>
      </c>
      <c r="AM46" s="16">
        <f>VLOOKUP(AM$23,'Neighborhood Inputs'!$C$42:$E$46,3,FALSE)*AM31</f>
        <v>0</v>
      </c>
      <c r="AN46" s="16">
        <f>VLOOKUP(AN$23,'Neighborhood Inputs'!$C$42:$E$46,3,FALSE)*AN31</f>
        <v>0</v>
      </c>
      <c r="AO46" s="95">
        <f t="shared" ref="AO46" si="26">SUMIF(AJ46:AN46,"&lt;&gt;#N/A")</f>
        <v>1611.6938489855152</v>
      </c>
      <c r="AQ46" s="94" t="s">
        <v>121</v>
      </c>
      <c r="AR46" s="16">
        <f>VLOOKUP(AR$23,'Neighborhood Inputs'!$C$42:$E$46,3,FALSE)*AR31</f>
        <v>30.436043287939142</v>
      </c>
      <c r="AS46" s="16">
        <f>VLOOKUP(AS$23,'Neighborhood Inputs'!$C$42:$E$46,3,FALSE)*AS31</f>
        <v>17.397639549999997</v>
      </c>
      <c r="AT46" s="16">
        <f>VLOOKUP(AT$23,'Neighborhood Inputs'!$C$42:$E$46,3,FALSE)*AT31</f>
        <v>0</v>
      </c>
      <c r="AU46" s="16">
        <f>VLOOKUP(AU$23,'Neighborhood Inputs'!$C$42:$E$46,3,FALSE)*AU31</f>
        <v>0</v>
      </c>
      <c r="AV46" s="16">
        <f>VLOOKUP(AV$23,'Neighborhood Inputs'!$C$42:$E$46,3,FALSE)*AV31</f>
        <v>0</v>
      </c>
      <c r="AW46" s="95">
        <f t="shared" ref="AW46" si="27">SUMIF(AR46:AV46,"&lt;&gt;#N/A")</f>
        <v>47.833682837939136</v>
      </c>
      <c r="AY46" s="94" t="s">
        <v>121</v>
      </c>
      <c r="AZ46" s="16">
        <f>VLOOKUP(AZ$23,'Neighborhood Inputs'!$C$42:$E$46,3,FALSE)*AZ31</f>
        <v>41.679121850701378</v>
      </c>
      <c r="BA46" s="16">
        <f>VLOOKUP(BA$23,'Neighborhood Inputs'!$C$42:$E$46,3,FALSE)*BA31</f>
        <v>0.68673054</v>
      </c>
      <c r="BB46" s="16">
        <f>VLOOKUP(BB$23,'Neighborhood Inputs'!$C$42:$E$46,3,FALSE)*BB31</f>
        <v>0</v>
      </c>
      <c r="BC46" s="16">
        <f>VLOOKUP(BC$23,'Neighborhood Inputs'!$C$42:$E$46,3,FALSE)*BC31</f>
        <v>0</v>
      </c>
      <c r="BD46" s="16">
        <f>VLOOKUP(BD$23,'Neighborhood Inputs'!$C$42:$E$46,3,FALSE)*BD31</f>
        <v>0</v>
      </c>
      <c r="BE46" s="95">
        <f t="shared" ref="BE46" si="28">SUMIF(AZ46:BD46,"&lt;&gt;#N/A")</f>
        <v>42.365852390701377</v>
      </c>
      <c r="BG46" s="94" t="s">
        <v>121</v>
      </c>
      <c r="BH46" s="16">
        <f>VLOOKUP(BH$23,'Neighborhood Inputs'!$C$42:$E$46,3,FALSE)*BH31</f>
        <v>245.17689189342951</v>
      </c>
      <c r="BI46" s="16">
        <f>VLOOKUP(BI$23,'Neighborhood Inputs'!$C$42:$E$46,3,FALSE)*BI31</f>
        <v>101.23028143000001</v>
      </c>
      <c r="BJ46" s="16">
        <f>VLOOKUP(BJ$23,'Neighborhood Inputs'!$C$42:$E$46,3,FALSE)*BJ31</f>
        <v>0</v>
      </c>
      <c r="BK46" s="16">
        <f>VLOOKUP(BK$23,'Neighborhood Inputs'!$C$42:$E$46,3,FALSE)*BK31</f>
        <v>0</v>
      </c>
      <c r="BL46" s="16">
        <f>VLOOKUP(BL$23,'Neighborhood Inputs'!$C$42:$E$46,3,FALSE)*BL31</f>
        <v>0</v>
      </c>
      <c r="BM46" s="95">
        <f t="shared" ref="BM46" si="29">SUMIF(BH46:BL46,"&lt;&gt;#N/A")</f>
        <v>346.4071733234295</v>
      </c>
      <c r="BO46" s="94" t="s">
        <v>121</v>
      </c>
      <c r="BP46" s="16">
        <f>VLOOKUP(BP$23,'Neighborhood Inputs'!$C$42:$E$46,3,FALSE)*BP31</f>
        <v>372.1507379559128</v>
      </c>
      <c r="BQ46" s="16">
        <f>VLOOKUP(BQ$23,'Neighborhood Inputs'!$C$42:$E$46,3,FALSE)*BQ31</f>
        <v>11.43932019</v>
      </c>
      <c r="BR46" s="16">
        <f>VLOOKUP(BR$23,'Neighborhood Inputs'!$C$42:$E$46,3,FALSE)*BR31</f>
        <v>0</v>
      </c>
      <c r="BS46" s="16">
        <f>VLOOKUP(BS$23,'Neighborhood Inputs'!$C$42:$E$46,3,FALSE)*BS31</f>
        <v>0</v>
      </c>
      <c r="BT46" s="16">
        <f>VLOOKUP(BT$23,'Neighborhood Inputs'!$C$42:$E$46,3,FALSE)*BT31</f>
        <v>0</v>
      </c>
      <c r="BU46" s="95">
        <f t="shared" ref="BU46" si="30">SUMIF(BP46:BT46,"&lt;&gt;#N/A")</f>
        <v>383.59005814591279</v>
      </c>
      <c r="BW46" s="94" t="s">
        <v>121</v>
      </c>
      <c r="BX46" s="16">
        <f>VLOOKUP(BX$23,'Neighborhood Inputs'!$C$42:$E$46,3,FALSE)*BX31</f>
        <v>147.97281935092059</v>
      </c>
      <c r="BY46" s="16">
        <f>VLOOKUP(BY$23,'Neighborhood Inputs'!$C$42:$E$46,3,FALSE)*BY31</f>
        <v>59.647769329999996</v>
      </c>
      <c r="BZ46" s="16">
        <f>VLOOKUP(BZ$23,'Neighborhood Inputs'!$C$42:$E$46,3,FALSE)*BZ31</f>
        <v>0</v>
      </c>
      <c r="CA46" s="16">
        <f>VLOOKUP(CA$23,'Neighborhood Inputs'!$C$42:$E$46,3,FALSE)*CA31</f>
        <v>0</v>
      </c>
      <c r="CB46" s="16">
        <f>VLOOKUP(CB$23,'Neighborhood Inputs'!$C$42:$E$46,3,FALSE)*CB31</f>
        <v>0</v>
      </c>
      <c r="CC46" s="95">
        <f t="shared" ref="CC46" si="31">SUMIF(BX46:CB46,"&lt;&gt;#N/A")</f>
        <v>207.62058868092058</v>
      </c>
      <c r="CE46" s="94" t="s">
        <v>121</v>
      </c>
      <c r="CF46" s="16">
        <f>VLOOKUP(CF$23,'Neighborhood Inputs'!$C$42:$E$46,3,FALSE)*CF31</f>
        <v>221.61509140392874</v>
      </c>
      <c r="CG46" s="16">
        <f>VLOOKUP(CG$23,'Neighborhood Inputs'!$C$42:$E$46,3,FALSE)*CG31</f>
        <v>8.6082276700000016</v>
      </c>
      <c r="CH46" s="16">
        <f>VLOOKUP(CH$23,'Neighborhood Inputs'!$C$42:$E$46,3,FALSE)*CH31</f>
        <v>0</v>
      </c>
      <c r="CI46" s="16">
        <f>VLOOKUP(CI$23,'Neighborhood Inputs'!$C$42:$E$46,3,FALSE)*CI31</f>
        <v>0</v>
      </c>
      <c r="CJ46" s="16">
        <f>VLOOKUP(CJ$23,'Neighborhood Inputs'!$C$42:$E$46,3,FALSE)*CJ31</f>
        <v>0</v>
      </c>
      <c r="CK46" s="95">
        <f t="shared" ref="CK46" si="32">SUMIF(CF46:CJ46,"&lt;&gt;#N/A")</f>
        <v>230.22331907392874</v>
      </c>
      <c r="CM46" s="94" t="s">
        <v>121</v>
      </c>
      <c r="CN46" s="16">
        <f>VLOOKUP(CN$23,'Neighborhood Inputs'!$C$42:$E$46,3,FALSE)*CN31</f>
        <v>250.4396856351423</v>
      </c>
      <c r="CO46" s="16">
        <f>VLOOKUP(CO$23,'Neighborhood Inputs'!$C$42:$E$46,3,FALSE)*CO31</f>
        <v>85.102829280000009</v>
      </c>
      <c r="CP46" s="16">
        <f>VLOOKUP(CP$23,'Neighborhood Inputs'!$C$42:$E$46,3,FALSE)*CP31</f>
        <v>0</v>
      </c>
      <c r="CQ46" s="16">
        <f>VLOOKUP(CQ$23,'Neighborhood Inputs'!$C$42:$E$46,3,FALSE)*CQ31</f>
        <v>0</v>
      </c>
      <c r="CR46" s="16">
        <f>VLOOKUP(CR$23,'Neighborhood Inputs'!$C$42:$E$46,3,FALSE)*CR31</f>
        <v>0</v>
      </c>
      <c r="CS46" s="95">
        <f t="shared" ref="CS46" si="33">SUMIF(CN46:CR46,"&lt;&gt;#N/A")</f>
        <v>335.54251491514231</v>
      </c>
      <c r="CU46" s="94" t="s">
        <v>121</v>
      </c>
      <c r="CV46" s="16">
        <f>VLOOKUP(CV$23,'Neighborhood Inputs'!$C$42:$E$46,3,FALSE)*CV31</f>
        <v>338.8455406085539</v>
      </c>
      <c r="CW46" s="16">
        <f>VLOOKUP(CW$23,'Neighborhood Inputs'!$C$42:$E$46,3,FALSE)*CW31</f>
        <v>10.803859730000001</v>
      </c>
      <c r="CX46" s="16">
        <f>VLOOKUP(CX$23,'Neighborhood Inputs'!$C$42:$E$46,3,FALSE)*CX31</f>
        <v>0</v>
      </c>
      <c r="CY46" s="16">
        <f>VLOOKUP(CY$23,'Neighborhood Inputs'!$C$42:$E$46,3,FALSE)*CY31</f>
        <v>0</v>
      </c>
      <c r="CZ46" s="16">
        <f>VLOOKUP(CZ$23,'Neighborhood Inputs'!$C$42:$E$46,3,FALSE)*CZ31</f>
        <v>0</v>
      </c>
      <c r="DA46" s="95">
        <f t="shared" ref="DA46" si="34">SUMIF(CV46:CZ46,"&lt;&gt;#N/A")</f>
        <v>349.6494003385539</v>
      </c>
      <c r="DC46" s="94" t="s">
        <v>121</v>
      </c>
      <c r="DD46" s="16">
        <f>VLOOKUP(DD$23,'Neighborhood Inputs'!$C$42:$E$46,3,FALSE)*DD31</f>
        <v>309.33355013724548</v>
      </c>
      <c r="DE46" s="16">
        <f>VLOOKUP(DE$23,'Neighborhood Inputs'!$C$42:$E$46,3,FALSE)*DE31</f>
        <v>77.54896506</v>
      </c>
      <c r="DF46" s="16">
        <f>VLOOKUP(DF$23,'Neighborhood Inputs'!$C$42:$E$46,3,FALSE)*DF31</f>
        <v>0</v>
      </c>
      <c r="DG46" s="16">
        <f>VLOOKUP(DG$23,'Neighborhood Inputs'!$C$42:$E$46,3,FALSE)*DG31</f>
        <v>0</v>
      </c>
      <c r="DH46" s="16">
        <f>VLOOKUP(DH$23,'Neighborhood Inputs'!$C$42:$E$46,3,FALSE)*DH31</f>
        <v>0</v>
      </c>
      <c r="DI46" s="95">
        <f t="shared" ref="DI46" si="35">SUMIF(DD46:DH46,"&lt;&gt;#N/A")</f>
        <v>386.88251519724548</v>
      </c>
      <c r="DK46" s="94" t="s">
        <v>121</v>
      </c>
      <c r="DL46" s="16">
        <f>VLOOKUP(DL$23,'Neighborhood Inputs'!$C$42:$E$46,3,FALSE)*DL31</f>
        <v>365.57831947781727</v>
      </c>
      <c r="DM46" s="16">
        <f>VLOOKUP(DM$23,'Neighborhood Inputs'!$C$42:$E$46,3,FALSE)*DM31</f>
        <v>11.301191059999999</v>
      </c>
      <c r="DN46" s="16">
        <f>VLOOKUP(DN$23,'Neighborhood Inputs'!$C$42:$E$46,3,FALSE)*DN31</f>
        <v>0</v>
      </c>
      <c r="DO46" s="16">
        <f>VLOOKUP(DO$23,'Neighborhood Inputs'!$C$42:$E$46,3,FALSE)*DO31</f>
        <v>0</v>
      </c>
      <c r="DP46" s="16">
        <f>VLOOKUP(DP$23,'Neighborhood Inputs'!$C$42:$E$46,3,FALSE)*DP31</f>
        <v>0</v>
      </c>
      <c r="DQ46" s="95">
        <f t="shared" ref="DQ46" si="36">SUMIF(DL46:DP46,"&lt;&gt;#N/A")</f>
        <v>376.87951053781728</v>
      </c>
      <c r="DS46" s="94" t="s">
        <v>121</v>
      </c>
      <c r="DT46" s="16">
        <f>VLOOKUP(DT$23,'Neighborhood Inputs'!$C$42:$E$46,3,FALSE)*DT31</f>
        <v>444.02331719426678</v>
      </c>
      <c r="DU46" s="16">
        <f>VLOOKUP(DU$23,'Neighborhood Inputs'!$C$42:$E$46,3,FALSE)*DU31</f>
        <v>145.55214463999999</v>
      </c>
      <c r="DV46" s="16">
        <f>VLOOKUP(DV$23,'Neighborhood Inputs'!$C$42:$E$46,3,FALSE)*DV31</f>
        <v>0</v>
      </c>
      <c r="DW46" s="16">
        <f>VLOOKUP(DW$23,'Neighborhood Inputs'!$C$42:$E$46,3,FALSE)*DW31</f>
        <v>0</v>
      </c>
      <c r="DX46" s="16">
        <f>VLOOKUP(DX$23,'Neighborhood Inputs'!$C$42:$E$46,3,FALSE)*DX31</f>
        <v>0</v>
      </c>
      <c r="DY46" s="95">
        <f t="shared" ref="DY46" si="37">SUMIF(DT46:DX46,"&lt;&gt;#N/A")</f>
        <v>589.57546183426678</v>
      </c>
      <c r="EA46" s="94" t="s">
        <v>121</v>
      </c>
      <c r="EB46" s="16">
        <f>VLOOKUP(EB$23,'Neighborhood Inputs'!$C$42:$E$46,3,FALSE)*EB31</f>
        <v>572.27588138909402</v>
      </c>
      <c r="EC46" s="16">
        <f>VLOOKUP(EC$23,'Neighborhood Inputs'!$C$42:$E$46,3,FALSE)*EC31</f>
        <v>17.79008176</v>
      </c>
      <c r="ED46" s="16">
        <f>VLOOKUP(ED$23,'Neighborhood Inputs'!$C$42:$E$46,3,FALSE)*ED31</f>
        <v>0</v>
      </c>
      <c r="EE46" s="16">
        <f>VLOOKUP(EE$23,'Neighborhood Inputs'!$C$42:$E$46,3,FALSE)*EE31</f>
        <v>0</v>
      </c>
      <c r="EF46" s="16">
        <f>VLOOKUP(EF$23,'Neighborhood Inputs'!$C$42:$E$46,3,FALSE)*EF31</f>
        <v>0</v>
      </c>
      <c r="EG46" s="95">
        <f t="shared" ref="EG46" si="38">SUMIF(EB46:EF46,"&lt;&gt;#N/A")</f>
        <v>590.06596314909405</v>
      </c>
      <c r="EI46" s="94" t="s">
        <v>121</v>
      </c>
      <c r="EJ46" s="16">
        <f>VLOOKUP(EJ$23,'Neighborhood Inputs'!$C$42:$E$46,3,FALSE)*EJ31</f>
        <v>138.3949491515161</v>
      </c>
      <c r="EK46" s="16">
        <f>VLOOKUP(EK$23,'Neighborhood Inputs'!$C$42:$E$46,3,FALSE)*EK31</f>
        <v>0</v>
      </c>
      <c r="EL46" s="16">
        <f>VLOOKUP(EL$23,'Neighborhood Inputs'!$C$42:$E$46,3,FALSE)*EL31</f>
        <v>0</v>
      </c>
      <c r="EM46" s="16">
        <f>VLOOKUP(EM$23,'Neighborhood Inputs'!$C$42:$E$46,3,FALSE)*EM31</f>
        <v>0</v>
      </c>
      <c r="EN46" s="16">
        <f>VLOOKUP(EN$23,'Neighborhood Inputs'!$C$42:$E$46,3,FALSE)*EN31</f>
        <v>0</v>
      </c>
      <c r="EO46" s="95">
        <f t="shared" ref="EO46" si="39">SUMIF(EJ46:EN46,"&lt;&gt;#N/A")</f>
        <v>138.3949491515161</v>
      </c>
    </row>
    <row r="47" spans="2:145" ht="12.9" thickBot="1" x14ac:dyDescent="0.35">
      <c r="B47" s="20"/>
      <c r="C47" s="656" t="s">
        <v>119</v>
      </c>
      <c r="D47" s="104">
        <f ca="1">$C$46-D46</f>
        <v>471.55785256633681</v>
      </c>
      <c r="E47" s="104">
        <f t="shared" ref="E47:F47" ca="1" si="40">$C$46-E46</f>
        <v>618.24685948654951</v>
      </c>
      <c r="F47" s="104">
        <f t="shared" ca="1" si="40"/>
        <v>1718.0440328329769</v>
      </c>
      <c r="G47" s="656" t="s">
        <v>119</v>
      </c>
      <c r="H47" s="104">
        <f ca="1">$G$46-H46</f>
        <v>5.467830447237759</v>
      </c>
      <c r="I47" s="656" t="s">
        <v>119</v>
      </c>
      <c r="J47" s="104">
        <f ca="1">$I$46-J46</f>
        <v>-37.182884822483288</v>
      </c>
      <c r="K47" s="656" t="s">
        <v>119</v>
      </c>
      <c r="L47" s="104">
        <f ca="1">$K$46-L46</f>
        <v>-22.602730393008159</v>
      </c>
      <c r="M47" s="656" t="s">
        <v>119</v>
      </c>
      <c r="N47" s="104">
        <f ca="1">$M$46-N46</f>
        <v>-14.106885423411597</v>
      </c>
      <c r="O47" s="656" t="s">
        <v>119</v>
      </c>
      <c r="P47" s="104">
        <f ca="1">$O$46-P46</f>
        <v>10.0030046594282</v>
      </c>
      <c r="Q47" s="656" t="s">
        <v>119</v>
      </c>
      <c r="R47" s="104">
        <f ca="1">$Q$46-R46</f>
        <v>-0.49050131482727011</v>
      </c>
      <c r="S47" s="478"/>
      <c r="U47" s="773" t="s">
        <v>119</v>
      </c>
      <c r="V47" s="639">
        <f ca="1">$U$46-V46</f>
        <v>274.25073656775749</v>
      </c>
      <c r="W47" s="639">
        <f t="shared" ref="W47:X47" ca="1" si="41">$U$46-W46</f>
        <v>420.93974348797019</v>
      </c>
      <c r="X47" s="639">
        <f t="shared" ca="1" si="41"/>
        <v>1520.7369168343971</v>
      </c>
      <c r="Y47" s="641">
        <f ca="1">$U$46-Y46</f>
        <v>3003.9136383407958</v>
      </c>
      <c r="Z47" s="178"/>
    </row>
    <row r="48" spans="2:145" ht="12.9" thickBot="1" x14ac:dyDescent="0.35">
      <c r="C48" s="657"/>
      <c r="D48" s="127">
        <f t="shared" ref="D48:F48" ca="1" si="42">1-D46/$C$46</f>
        <v>0.22635663862175881</v>
      </c>
      <c r="E48" s="127">
        <f t="shared" ca="1" si="42"/>
        <v>0.29677012097290323</v>
      </c>
      <c r="F48" s="127">
        <f t="shared" ca="1" si="42"/>
        <v>0.82469344993366611</v>
      </c>
      <c r="G48" s="657"/>
      <c r="H48" s="127">
        <f ca="1">1-H46/$G$46</f>
        <v>0.1143092089681409</v>
      </c>
      <c r="I48" s="657"/>
      <c r="J48" s="127">
        <f ca="1">1-J46/$I$46</f>
        <v>-0.10733866872833731</v>
      </c>
      <c r="K48" s="657"/>
      <c r="L48" s="127">
        <f ca="1">1-L46/$K$46</f>
        <v>-0.10886555392512109</v>
      </c>
      <c r="M48" s="657"/>
      <c r="N48" s="127">
        <f ca="1">1-N46/$M$46</f>
        <v>-4.2042020895561194E-2</v>
      </c>
      <c r="O48" s="657"/>
      <c r="P48" s="127">
        <f ca="1">1-P46/$O$46</f>
        <v>2.585540639986883E-2</v>
      </c>
      <c r="Q48" s="657"/>
      <c r="R48" s="127">
        <f ca="1">1-R46/$Q$46</f>
        <v>-8.3195680040892839E-4</v>
      </c>
      <c r="S48" s="479"/>
      <c r="U48" s="774"/>
      <c r="V48" s="628">
        <f ca="1">1-(V46/U46)</f>
        <v>6.8612194043499608E-2</v>
      </c>
      <c r="W48" s="628">
        <f ca="1">1-(W46/U46)</f>
        <v>0.10531092722765378</v>
      </c>
      <c r="X48" s="628">
        <f ca="1">1-(X46/U46)</f>
        <v>0.3804587646063663</v>
      </c>
      <c r="Y48" s="642">
        <f ca="1">1-(Y46/U46)</f>
        <v>0.75152069971864055</v>
      </c>
    </row>
    <row r="49" spans="2:129" ht="12.9" thickBot="1" x14ac:dyDescent="0.35">
      <c r="AB49" s="16" t="s">
        <v>90</v>
      </c>
      <c r="AC49" s="16" t="s">
        <v>91</v>
      </c>
      <c r="AR49" s="16" t="s">
        <v>90</v>
      </c>
      <c r="AS49" s="16" t="s">
        <v>91</v>
      </c>
      <c r="BH49" s="16" t="s">
        <v>90</v>
      </c>
      <c r="BI49" s="16" t="s">
        <v>91</v>
      </c>
      <c r="BX49" s="16" t="s">
        <v>90</v>
      </c>
      <c r="BY49" s="16" t="s">
        <v>91</v>
      </c>
      <c r="CN49" s="16" t="s">
        <v>90</v>
      </c>
      <c r="CO49" s="16" t="s">
        <v>91</v>
      </c>
      <c r="DD49" s="16" t="s">
        <v>90</v>
      </c>
      <c r="DE49" s="16" t="s">
        <v>91</v>
      </c>
      <c r="DT49" s="16" t="s">
        <v>90</v>
      </c>
      <c r="DU49" s="16"/>
    </row>
    <row r="50" spans="2:129" x14ac:dyDescent="0.3">
      <c r="B50" s="222" t="s">
        <v>296</v>
      </c>
      <c r="C50" s="537">
        <f>AB50</f>
        <v>655.44748622841666</v>
      </c>
      <c r="G50" s="537">
        <f>AR50</f>
        <v>15.828981653391418</v>
      </c>
      <c r="I50" s="537">
        <f>BH50</f>
        <v>96.860224862849165</v>
      </c>
      <c r="K50" s="537">
        <f>BX50</f>
        <v>34.736021193515498</v>
      </c>
      <c r="M50" s="537">
        <f>CN50</f>
        <v>76.626500783067499</v>
      </c>
      <c r="O50" s="537">
        <f>DD50</f>
        <v>75.584668081954661</v>
      </c>
      <c r="Q50" s="537">
        <f>DT50</f>
        <v>181.31148244690417</v>
      </c>
      <c r="AA50" s="94" t="s">
        <v>543</v>
      </c>
      <c r="AB50" s="16">
        <f>7865369.834741/12000</f>
        <v>655.44748622841666</v>
      </c>
      <c r="AC50" s="16">
        <f>5300225.40493554/12000</f>
        <v>441.68545041129499</v>
      </c>
      <c r="AD50" s="16">
        <f>VLOOKUP(AD$23,'Neighborhood Inputs'!$C$42:$E$46,3,FALSE)*AD35</f>
        <v>0</v>
      </c>
      <c r="AE50" s="16">
        <f>VLOOKUP(AE$23,'Neighborhood Inputs'!$C$42:$E$46,3,FALSE)*AE35</f>
        <v>0</v>
      </c>
      <c r="AF50" s="16">
        <f>VLOOKUP(AF$23,'Neighborhood Inputs'!$C$42:$E$46,3,FALSE)*AF35</f>
        <v>0</v>
      </c>
      <c r="AG50" s="95">
        <f>SUMIF(AB50:AF50,"&lt;&gt;#N/A")</f>
        <v>1097.1329366397117</v>
      </c>
      <c r="AQ50" s="94" t="s">
        <v>543</v>
      </c>
      <c r="AR50" s="16">
        <f>189947.779840697/12000</f>
        <v>15.828981653391418</v>
      </c>
      <c r="AS50" s="16">
        <f>167698.352172135/12000</f>
        <v>13.974862681011249</v>
      </c>
      <c r="AT50" s="16">
        <f>VLOOKUP(AT$23,'Neighborhood Inputs'!$C$42:$E$46,3,FALSE)*AT35</f>
        <v>0</v>
      </c>
      <c r="AU50" s="16">
        <f>VLOOKUP(AU$23,'Neighborhood Inputs'!$C$42:$E$46,3,FALSE)*AU35</f>
        <v>0</v>
      </c>
      <c r="AV50" s="16">
        <f>VLOOKUP(AV$23,'Neighborhood Inputs'!$C$42:$E$46,3,FALSE)*AV35</f>
        <v>0</v>
      </c>
      <c r="AW50" s="95">
        <f t="shared" ref="AW50" si="43">SUMIF(AR50:AV50,"&lt;&gt;#N/A")</f>
        <v>29.803844334402669</v>
      </c>
      <c r="BG50" s="94" t="s">
        <v>543</v>
      </c>
      <c r="BH50" s="16">
        <f>1162322.69835419/12000</f>
        <v>96.860224862849165</v>
      </c>
      <c r="BI50" s="16">
        <f>1279173.66782246/12000</f>
        <v>106.59780565187167</v>
      </c>
      <c r="BJ50" s="16">
        <f>VLOOKUP(BJ$23,'Neighborhood Inputs'!$C$42:$E$46,3,FALSE)*BJ35</f>
        <v>0</v>
      </c>
      <c r="BK50" s="16">
        <f>VLOOKUP(BK$23,'Neighborhood Inputs'!$C$42:$E$46,3,FALSE)*BK35</f>
        <v>0</v>
      </c>
      <c r="BL50" s="16">
        <f>VLOOKUP(BL$23,'Neighborhood Inputs'!$C$42:$E$46,3,FALSE)*BL35</f>
        <v>0</v>
      </c>
      <c r="BM50" s="95">
        <f t="shared" ref="BM50" si="44">SUMIF(BH50:BL50,"&lt;&gt;#N/A")</f>
        <v>203.45803051472083</v>
      </c>
      <c r="BW50" s="94" t="s">
        <v>543</v>
      </c>
      <c r="BX50" s="16">
        <f>416832.254322186/12000</f>
        <v>34.736021193515498</v>
      </c>
      <c r="BY50" s="16">
        <f>565734.542175712/12000</f>
        <v>47.144545181309326</v>
      </c>
      <c r="BZ50" s="16">
        <f>VLOOKUP(BZ$23,'Neighborhood Inputs'!$C$42:$E$46,3,FALSE)*BZ35</f>
        <v>0</v>
      </c>
      <c r="CA50" s="16">
        <f>VLOOKUP(CA$23,'Neighborhood Inputs'!$C$42:$E$46,3,FALSE)*CA35</f>
        <v>0</v>
      </c>
      <c r="CB50" s="16">
        <f>VLOOKUP(CB$23,'Neighborhood Inputs'!$C$42:$E$46,3,FALSE)*CB35</f>
        <v>0</v>
      </c>
      <c r="CC50" s="95">
        <f t="shared" ref="CC50" si="45">SUMIF(BX50:CB50,"&lt;&gt;#N/A")</f>
        <v>81.880566374824824</v>
      </c>
      <c r="CM50" s="94" t="s">
        <v>121</v>
      </c>
      <c r="CN50" s="16">
        <f>919518.00939681/12000</f>
        <v>76.626500783067499</v>
      </c>
      <c r="CO50" s="16">
        <f>1018081.61590888/12000</f>
        <v>84.840134659073328</v>
      </c>
      <c r="CP50" s="16">
        <f>VLOOKUP(CP$23,'Neighborhood Inputs'!$C$42:$E$46,3,FALSE)*CP35</f>
        <v>0</v>
      </c>
      <c r="CQ50" s="16">
        <f>VLOOKUP(CQ$23,'Neighborhood Inputs'!$C$42:$E$46,3,FALSE)*CQ35</f>
        <v>0</v>
      </c>
      <c r="CR50" s="16">
        <f>VLOOKUP(CR$23,'Neighborhood Inputs'!$C$42:$E$46,3,FALSE)*CR35</f>
        <v>0</v>
      </c>
      <c r="CS50" s="95">
        <f t="shared" ref="CS50" si="46">SUMIF(CN50:CR50,"&lt;&gt;#N/A")</f>
        <v>161.46663544214084</v>
      </c>
      <c r="DC50" s="94" t="s">
        <v>543</v>
      </c>
      <c r="DD50" s="16">
        <f>907016.016983456/12000</f>
        <v>75.584668081954661</v>
      </c>
      <c r="DE50" s="16">
        <f>331819.645486015/12000</f>
        <v>27.651637123834583</v>
      </c>
      <c r="DF50" s="16">
        <f>VLOOKUP(DF$23,'Neighborhood Inputs'!$C$42:$E$46,3,FALSE)*DF35</f>
        <v>0</v>
      </c>
      <c r="DG50" s="16">
        <f>VLOOKUP(DG$23,'Neighborhood Inputs'!$C$42:$E$46,3,FALSE)*DG35</f>
        <v>0</v>
      </c>
      <c r="DH50" s="16">
        <f>VLOOKUP(DH$23,'Neighborhood Inputs'!$C$42:$E$46,3,FALSE)*DH35</f>
        <v>0</v>
      </c>
      <c r="DI50" s="95">
        <f t="shared" ref="DI50" si="47">SUMIF(DD50:DH50,"&lt;&gt;#N/A")</f>
        <v>103.23630520578925</v>
      </c>
      <c r="DS50" s="94" t="s">
        <v>543</v>
      </c>
      <c r="DT50" s="16">
        <f>2175737.78936285/12000</f>
        <v>181.31148244690417</v>
      </c>
      <c r="DU50" s="16"/>
      <c r="DV50" s="16">
        <f>VLOOKUP(DV$23,'Neighborhood Inputs'!$C$42:$E$46,3,FALSE)*DV35</f>
        <v>0</v>
      </c>
      <c r="DW50" s="16">
        <f>VLOOKUP(DW$23,'Neighborhood Inputs'!$C$42:$E$46,3,FALSE)*DW35</f>
        <v>0</v>
      </c>
      <c r="DX50" s="16">
        <f>VLOOKUP(DX$23,'Neighborhood Inputs'!$C$42:$E$46,3,FALSE)*DX35</f>
        <v>0</v>
      </c>
      <c r="DY50" s="95">
        <f t="shared" ref="DY50" si="48">SUMIF(DT50:DX50,"&lt;&gt;#N/A")</f>
        <v>181.31148244690417</v>
      </c>
    </row>
    <row r="51" spans="2:129" ht="12.9" thickBot="1" x14ac:dyDescent="0.35">
      <c r="B51" s="222" t="s">
        <v>298</v>
      </c>
      <c r="C51" s="579">
        <f>AC50</f>
        <v>441.68545041129499</v>
      </c>
      <c r="G51" s="579">
        <f>AS50</f>
        <v>13.974862681011249</v>
      </c>
      <c r="I51" s="579">
        <f>BI50</f>
        <v>106.59780565187167</v>
      </c>
      <c r="K51" s="579">
        <f>BY50</f>
        <v>47.144545181309326</v>
      </c>
      <c r="M51" s="579">
        <f>CO50</f>
        <v>84.840134659073328</v>
      </c>
      <c r="O51" s="579">
        <f>DE50</f>
        <v>27.651637123834583</v>
      </c>
      <c r="Q51" s="579">
        <f>DT51</f>
        <v>0</v>
      </c>
    </row>
    <row r="52" spans="2:129" ht="24.9" x14ac:dyDescent="0.3">
      <c r="B52" s="578" t="s">
        <v>542</v>
      </c>
      <c r="C52" s="781" t="s">
        <v>537</v>
      </c>
      <c r="D52" s="782"/>
      <c r="E52" s="782"/>
      <c r="F52" s="782"/>
      <c r="G52" s="782"/>
      <c r="H52" s="782"/>
      <c r="I52" s="782"/>
      <c r="J52" s="783"/>
      <c r="K52" s="784" t="s">
        <v>538</v>
      </c>
      <c r="L52" s="782"/>
      <c r="M52" s="782"/>
      <c r="N52" s="782"/>
      <c r="O52" s="782"/>
      <c r="P52" s="782"/>
      <c r="Q52" s="782"/>
      <c r="R52" s="785"/>
    </row>
    <row r="53" spans="2:129" x14ac:dyDescent="0.3">
      <c r="B53" s="473" t="s">
        <v>539</v>
      </c>
      <c r="C53" s="580">
        <f>C50/($C$50+$G$50+$I$50)</f>
        <v>0.85329537362212626</v>
      </c>
      <c r="D53" s="238"/>
      <c r="E53" s="238"/>
      <c r="F53" s="238"/>
      <c r="G53" s="489">
        <f>G50/($C$50+$G$50+$I$50)</f>
        <v>2.0606985453112917E-2</v>
      </c>
      <c r="H53" s="238"/>
      <c r="I53" s="489">
        <f>I50/($C$50+$G$50+$I$50)</f>
        <v>0.12609764092476089</v>
      </c>
      <c r="J53" s="238"/>
      <c r="K53" s="489">
        <f>K50/($K$50+$M$50+$O$50+$Q$50)</f>
        <v>9.4325059494701227E-2</v>
      </c>
      <c r="L53" s="238"/>
      <c r="M53" s="489">
        <f>M50/($K$50+$M$50+$O$50+$Q$50)</f>
        <v>0.20807792593651728</v>
      </c>
      <c r="N53" s="238"/>
      <c r="O53" s="489">
        <f>O50/($K$50+$M$50+$O$50+$Q$50)</f>
        <v>0.20524884741400823</v>
      </c>
      <c r="P53" s="238"/>
      <c r="Q53" s="489">
        <f>Q50/($K$50+$M$50+$O$50+$Q$50)</f>
        <v>0.4923481671547732</v>
      </c>
      <c r="R53" s="490"/>
      <c r="BH53" s="172"/>
    </row>
    <row r="54" spans="2:129" x14ac:dyDescent="0.3">
      <c r="B54" s="473" t="s">
        <v>461</v>
      </c>
      <c r="C54" s="581">
        <f>C53*2500</f>
        <v>2133.2384340553158</v>
      </c>
      <c r="D54" s="228"/>
      <c r="E54" s="228"/>
      <c r="F54" s="228"/>
      <c r="G54" s="491">
        <f>G53*2500</f>
        <v>51.517463632782288</v>
      </c>
      <c r="H54" s="228"/>
      <c r="I54" s="491">
        <f>I53*2500</f>
        <v>315.24410231190222</v>
      </c>
      <c r="J54" s="228"/>
      <c r="K54" s="491"/>
      <c r="L54" s="228"/>
      <c r="M54" s="491"/>
      <c r="N54" s="228"/>
      <c r="O54" s="491"/>
      <c r="P54" s="228"/>
      <c r="Q54" s="491"/>
      <c r="R54" s="492"/>
    </row>
    <row r="55" spans="2:129" x14ac:dyDescent="0.3">
      <c r="B55" s="473" t="s">
        <v>540</v>
      </c>
      <c r="C55" s="581">
        <f>C50*C56/500</f>
        <v>233.33930509731633</v>
      </c>
      <c r="D55" s="582"/>
      <c r="E55" s="582"/>
      <c r="F55" s="582"/>
      <c r="G55" s="491">
        <f>G50*C56/500</f>
        <v>5.6351174686073442</v>
      </c>
      <c r="H55" s="582"/>
      <c r="I55" s="491">
        <f>I50*C56/500</f>
        <v>34.482240051174301</v>
      </c>
      <c r="J55" s="228"/>
      <c r="K55" s="493"/>
      <c r="L55" s="228"/>
      <c r="M55" s="493"/>
      <c r="N55" s="228"/>
      <c r="O55" s="493"/>
      <c r="P55" s="228"/>
      <c r="Q55" s="493"/>
      <c r="R55" s="492"/>
      <c r="AA55" s="48"/>
      <c r="AB55" s="1"/>
      <c r="AC55" s="9"/>
      <c r="AD55" s="9"/>
    </row>
    <row r="56" spans="2:129" x14ac:dyDescent="0.3">
      <c r="B56" s="473" t="s">
        <v>462</v>
      </c>
      <c r="C56" s="583">
        <v>178</v>
      </c>
      <c r="D56" s="228"/>
      <c r="E56" s="228"/>
      <c r="F56" s="228"/>
      <c r="G56" s="493">
        <f>C56</f>
        <v>178</v>
      </c>
      <c r="H56" s="228"/>
      <c r="I56" s="493">
        <f>C56</f>
        <v>178</v>
      </c>
      <c r="J56" s="228"/>
      <c r="K56" s="493"/>
      <c r="L56" s="228"/>
      <c r="M56" s="493"/>
      <c r="N56" s="228"/>
      <c r="O56" s="493"/>
      <c r="P56" s="228"/>
      <c r="Q56" s="493"/>
      <c r="R56" s="492"/>
      <c r="AG56" s="1"/>
      <c r="AH56" s="1"/>
      <c r="AI56" s="1"/>
    </row>
    <row r="57" spans="2:129" x14ac:dyDescent="0.3">
      <c r="B57" s="473" t="s">
        <v>541</v>
      </c>
      <c r="C57" s="583"/>
      <c r="D57" s="584">
        <f>EJ11</f>
        <v>724183.96250000002</v>
      </c>
      <c r="E57" s="584"/>
      <c r="F57" s="584"/>
      <c r="G57" s="491"/>
      <c r="H57" s="585">
        <f>AZ11</f>
        <v>18040.75</v>
      </c>
      <c r="I57" s="491"/>
      <c r="J57" s="585">
        <f>BP11</f>
        <v>175400.03750000001</v>
      </c>
      <c r="K57" s="491"/>
      <c r="L57" s="585">
        <f>CF11</f>
        <v>97661.991507343133</v>
      </c>
      <c r="M57" s="491"/>
      <c r="N57" s="585">
        <f>CV11</f>
        <v>127468.22648685805</v>
      </c>
      <c r="O57" s="491"/>
      <c r="P57" s="585">
        <f>DL11</f>
        <v>133026.63572151316</v>
      </c>
      <c r="Q57" s="491"/>
      <c r="R57" s="530">
        <f>EB11</f>
        <v>210779.79406275036</v>
      </c>
      <c r="S57" s="308">
        <f>SUM(D57:R57)</f>
        <v>1486561.3977784647</v>
      </c>
      <c r="T57" s="181" t="s">
        <v>465</v>
      </c>
      <c r="AA57" s="48"/>
      <c r="AG57" s="47"/>
      <c r="AH57" s="47"/>
      <c r="AI57" s="47"/>
    </row>
    <row r="58" spans="2:129" x14ac:dyDescent="0.3">
      <c r="B58" s="474" t="s">
        <v>459</v>
      </c>
      <c r="C58" s="583"/>
      <c r="D58" s="494">
        <f>D57*'Neighborhood Inputs'!$D$35</f>
        <v>41648.530083455342</v>
      </c>
      <c r="E58" s="494"/>
      <c r="F58" s="494"/>
      <c r="G58" s="493"/>
      <c r="H58" s="495">
        <f>H57*'Neighborhood Inputs'!$H$35</f>
        <v>658.23644216691071</v>
      </c>
      <c r="I58" s="493"/>
      <c r="J58" s="494">
        <f>J57*'Neighborhood Inputs'!$H$35</f>
        <v>6399.6616903367494</v>
      </c>
      <c r="K58" s="493"/>
      <c r="L58" s="494">
        <f>L57*'Neighborhood Inputs'!$H$35</f>
        <v>3563.3042875007186</v>
      </c>
      <c r="M58" s="493"/>
      <c r="N58" s="494">
        <f>N57*'Neighborhood Inputs'!$H$35</f>
        <v>4650.8172826537375</v>
      </c>
      <c r="O58" s="493"/>
      <c r="P58" s="494">
        <f>P57*'Neighborhood Inputs'!$H$35</f>
        <v>4853.6219065594551</v>
      </c>
      <c r="Q58" s="493"/>
      <c r="R58" s="496">
        <f>R57*'Neighborhood Inputs'!$H$35</f>
        <v>7690.5306999176264</v>
      </c>
      <c r="S58" s="498">
        <f>SUM(D58:R58)</f>
        <v>69464.702392590538</v>
      </c>
      <c r="T58" s="181" t="s">
        <v>545</v>
      </c>
      <c r="AA58" s="48"/>
      <c r="AG58" s="47"/>
      <c r="AH58" s="47"/>
      <c r="AI58" s="47"/>
    </row>
    <row r="59" spans="2:129" ht="12.9" thickBot="1" x14ac:dyDescent="0.35">
      <c r="B59" s="499" t="s">
        <v>463</v>
      </c>
      <c r="C59" s="586"/>
      <c r="D59" s="501">
        <f>D58/C50</f>
        <v>63.542131076144308</v>
      </c>
      <c r="E59" s="501"/>
      <c r="F59" s="501"/>
      <c r="G59" s="500"/>
      <c r="H59" s="501">
        <f>H58/G50</f>
        <v>41.58425706595478</v>
      </c>
      <c r="I59" s="500"/>
      <c r="J59" s="501">
        <f>J58/I50</f>
        <v>66.071100902341044</v>
      </c>
      <c r="K59" s="500"/>
      <c r="L59" s="501">
        <f>L58/K50</f>
        <v>102.58239617166961</v>
      </c>
      <c r="M59" s="500"/>
      <c r="N59" s="501">
        <f>N58/M50</f>
        <v>60.694632211124656</v>
      </c>
      <c r="O59" s="500"/>
      <c r="P59" s="501">
        <f>P58/O50</f>
        <v>64.214370846965792</v>
      </c>
      <c r="Q59" s="500"/>
      <c r="R59" s="502">
        <f>R58/Q50</f>
        <v>42.41612608384991</v>
      </c>
      <c r="S59" s="497">
        <f>AVERAGE(D59:R59)</f>
        <v>63.015002051150013</v>
      </c>
      <c r="T59" s="181" t="s">
        <v>464</v>
      </c>
      <c r="AA59" s="48"/>
    </row>
    <row r="60" spans="2:129" x14ac:dyDescent="0.3">
      <c r="V60" s="172"/>
      <c r="AA60" s="48"/>
    </row>
    <row r="61" spans="2:129" x14ac:dyDescent="0.3">
      <c r="AA61" s="48"/>
    </row>
    <row r="63" spans="2:129" x14ac:dyDescent="0.3">
      <c r="AC63" s="9"/>
      <c r="AD63" s="9"/>
    </row>
    <row r="113" spans="2:9" x14ac:dyDescent="0.3">
      <c r="B113" s="172" t="s">
        <v>571</v>
      </c>
      <c r="C113" s="667" t="s">
        <v>0</v>
      </c>
      <c r="D113" s="654" t="s">
        <v>1</v>
      </c>
      <c r="E113" s="655"/>
      <c r="F113" s="654" t="s">
        <v>303</v>
      </c>
      <c r="G113" s="655"/>
      <c r="H113" s="654" t="s">
        <v>3</v>
      </c>
      <c r="I113" s="655"/>
    </row>
    <row r="114" spans="2:9" ht="24.9" x14ac:dyDescent="0.3">
      <c r="C114" s="668"/>
      <c r="D114" s="34" t="s">
        <v>16</v>
      </c>
      <c r="E114" s="34" t="s">
        <v>17</v>
      </c>
      <c r="F114" s="34" t="s">
        <v>570</v>
      </c>
      <c r="G114" s="34" t="s">
        <v>17</v>
      </c>
      <c r="H114" s="34" t="s">
        <v>19</v>
      </c>
      <c r="I114" s="34" t="s">
        <v>17</v>
      </c>
    </row>
    <row r="115" spans="2:9" x14ac:dyDescent="0.3">
      <c r="C115" s="81" t="s">
        <v>305</v>
      </c>
      <c r="D115" s="110">
        <f ca="1">C42</f>
        <v>477465.06980299368</v>
      </c>
      <c r="E115" s="125" t="s">
        <v>21</v>
      </c>
      <c r="F115" s="36">
        <f ca="1">C31</f>
        <v>110.82049195332092</v>
      </c>
      <c r="G115" s="125" t="s">
        <v>21</v>
      </c>
      <c r="H115" s="36">
        <f ca="1">C46</f>
        <v>2083.251701551852</v>
      </c>
      <c r="I115" s="125" t="s">
        <v>21</v>
      </c>
    </row>
    <row r="116" spans="2:9" x14ac:dyDescent="0.3">
      <c r="C116" s="81" t="s">
        <v>311</v>
      </c>
      <c r="D116" s="110">
        <f ca="1">D42</f>
        <v>465189.19457547873</v>
      </c>
      <c r="E116" s="125">
        <f ca="1">1-D116/D115</f>
        <v>2.5710520002185877E-2</v>
      </c>
      <c r="F116" s="36">
        <f ca="1">D31</f>
        <v>46.544631199969849</v>
      </c>
      <c r="G116" s="125">
        <f ca="1">1-F116/F115</f>
        <v>0.57999977820370019</v>
      </c>
      <c r="H116" s="36">
        <f ca="1">D46</f>
        <v>1611.6938489855152</v>
      </c>
      <c r="I116" s="125">
        <f ca="1">1-H116/H115</f>
        <v>0.22635663862175881</v>
      </c>
    </row>
    <row r="117" spans="2:9" x14ac:dyDescent="0.3">
      <c r="C117" s="81" t="s">
        <v>566</v>
      </c>
      <c r="D117" s="110">
        <f ca="1">E42</f>
        <v>421020.15049393731</v>
      </c>
      <c r="E117" s="125">
        <f ca="1">1-D117/D115</f>
        <v>0.11821790300250867</v>
      </c>
      <c r="F117" s="36">
        <f ca="1">E31</f>
        <v>43.05532495440584</v>
      </c>
      <c r="G117" s="125">
        <f ca="1">1-F117/F115</f>
        <v>0.61148588861578668</v>
      </c>
      <c r="H117" s="36">
        <f ca="1">E46</f>
        <v>1465.0048420653025</v>
      </c>
      <c r="I117" s="125">
        <f ca="1">1-H117/H115</f>
        <v>0.29677012097290323</v>
      </c>
    </row>
  </sheetData>
  <mergeCells count="33">
    <mergeCell ref="O43:O44"/>
    <mergeCell ref="U43:U44"/>
    <mergeCell ref="U30:X30"/>
    <mergeCell ref="C113:C114"/>
    <mergeCell ref="D113:E113"/>
    <mergeCell ref="F113:G113"/>
    <mergeCell ref="H113:I113"/>
    <mergeCell ref="C52:J52"/>
    <mergeCell ref="K52:R52"/>
    <mergeCell ref="K32:K33"/>
    <mergeCell ref="M32:M33"/>
    <mergeCell ref="O32:O33"/>
    <mergeCell ref="Q32:Q33"/>
    <mergeCell ref="Q47:Q48"/>
    <mergeCell ref="K47:K48"/>
    <mergeCell ref="K43:K44"/>
    <mergeCell ref="M43:M44"/>
    <mergeCell ref="U41:X41"/>
    <mergeCell ref="U47:U48"/>
    <mergeCell ref="U45:X45"/>
    <mergeCell ref="C32:C33"/>
    <mergeCell ref="C43:C44"/>
    <mergeCell ref="C47:C48"/>
    <mergeCell ref="G43:G44"/>
    <mergeCell ref="I43:I44"/>
    <mergeCell ref="G32:G33"/>
    <mergeCell ref="I32:I33"/>
    <mergeCell ref="G47:G48"/>
    <mergeCell ref="I47:I48"/>
    <mergeCell ref="Q43:Q44"/>
    <mergeCell ref="M47:M48"/>
    <mergeCell ref="O47:O48"/>
    <mergeCell ref="U32:U33"/>
  </mergeCell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F3AFA-1CAF-46D8-B711-8D9212408001}">
  <sheetPr>
    <tabColor theme="4" tint="0.79998168889431442"/>
  </sheetPr>
  <dimension ref="A1:L12"/>
  <sheetViews>
    <sheetView zoomScaleNormal="100" workbookViewId="0">
      <selection activeCell="F24" sqref="F24"/>
    </sheetView>
  </sheetViews>
  <sheetFormatPr defaultRowHeight="12.45" x14ac:dyDescent="0.3"/>
  <cols>
    <col min="1" max="1" width="24.3828125" bestFit="1" customWidth="1"/>
    <col min="2" max="2" width="14.53515625" customWidth="1"/>
    <col min="3" max="3" width="14.3828125" customWidth="1"/>
    <col min="4" max="4" width="12.84375" customWidth="1"/>
    <col min="5" max="5" width="11.15234375" customWidth="1"/>
    <col min="7" max="12" width="18.15234375" customWidth="1"/>
  </cols>
  <sheetData>
    <row r="1" spans="1:12" x14ac:dyDescent="0.3">
      <c r="A1" s="538"/>
      <c r="B1" s="538" t="s">
        <v>550</v>
      </c>
      <c r="C1" s="538" t="s">
        <v>551</v>
      </c>
      <c r="D1" s="538" t="s">
        <v>552</v>
      </c>
      <c r="E1" s="538" t="s">
        <v>553</v>
      </c>
      <c r="F1" s="539"/>
      <c r="G1" s="540" t="s">
        <v>156</v>
      </c>
      <c r="H1" s="540" t="s">
        <v>451</v>
      </c>
      <c r="I1" s="540" t="s">
        <v>452</v>
      </c>
      <c r="J1" s="540" t="s">
        <v>453</v>
      </c>
      <c r="K1" s="540" t="s">
        <v>454</v>
      </c>
      <c r="L1" s="540" t="s">
        <v>554</v>
      </c>
    </row>
    <row r="2" spans="1:12" x14ac:dyDescent="0.3">
      <c r="A2" s="545" t="s">
        <v>563</v>
      </c>
      <c r="B2" s="542">
        <f>'Neighborhood - TMY3'!C51</f>
        <v>441.68545041129499</v>
      </c>
      <c r="C2" s="542">
        <f>B2+G2+H2</f>
        <v>562.25811874417786</v>
      </c>
      <c r="D2" s="542">
        <f>J2+K2+I2+L2</f>
        <v>159.63631696421723</v>
      </c>
      <c r="E2" s="542">
        <f>SUM(C2:D2)</f>
        <v>721.89443570839512</v>
      </c>
      <c r="F2" s="145"/>
      <c r="G2" s="543">
        <f>'Neighborhood - TMY3'!G51</f>
        <v>13.974862681011249</v>
      </c>
      <c r="H2" s="543">
        <f>'Neighborhood - TMY3'!I51</f>
        <v>106.59780565187167</v>
      </c>
      <c r="I2" s="543">
        <f>'Neighborhood - TMY3'!K51</f>
        <v>47.144545181309326</v>
      </c>
      <c r="J2" s="543">
        <f>'Neighborhood - TMY3'!M51</f>
        <v>84.840134659073328</v>
      </c>
      <c r="K2" s="543">
        <f>'Neighborhood - TMY3'!O51</f>
        <v>27.651637123834583</v>
      </c>
      <c r="L2" s="543">
        <f>'Neighborhood - TMY3'!Q51</f>
        <v>0</v>
      </c>
    </row>
    <row r="3" spans="1:12" x14ac:dyDescent="0.3">
      <c r="A3" s="545" t="s">
        <v>564</v>
      </c>
      <c r="B3" s="542">
        <f>'Neighborhood - TMY3'!C50</f>
        <v>655.44748622841666</v>
      </c>
      <c r="C3" s="542">
        <f>B3+G3+H3</f>
        <v>768.13669274465724</v>
      </c>
      <c r="D3" s="542">
        <f>J3+K3+I3+L3</f>
        <v>368.25867250544184</v>
      </c>
      <c r="E3" s="542">
        <f>SUM(C3:D3)</f>
        <v>1136.3953652500991</v>
      </c>
      <c r="F3" s="145"/>
      <c r="G3" s="543">
        <f>'Neighborhood - TMY3'!G50</f>
        <v>15.828981653391418</v>
      </c>
      <c r="H3" s="543">
        <f>'Neighborhood - TMY3'!I50</f>
        <v>96.860224862849165</v>
      </c>
      <c r="I3" s="543">
        <f>'Neighborhood - TMY3'!K50</f>
        <v>34.736021193515498</v>
      </c>
      <c r="J3" s="543">
        <f>'Neighborhood - TMY3'!M50</f>
        <v>76.626500783067499</v>
      </c>
      <c r="K3" s="543">
        <f>'Neighborhood - TMY3'!O50</f>
        <v>75.584668081954661</v>
      </c>
      <c r="L3" s="543">
        <f>'Neighborhood - TMY3'!Q50</f>
        <v>181.31148244690417</v>
      </c>
    </row>
    <row r="4" spans="1:12" x14ac:dyDescent="0.3">
      <c r="A4" s="541" t="s">
        <v>555</v>
      </c>
      <c r="B4" s="541">
        <v>180</v>
      </c>
      <c r="C4" s="541">
        <v>200</v>
      </c>
      <c r="D4" s="541">
        <v>90</v>
      </c>
      <c r="E4" s="541">
        <v>280</v>
      </c>
      <c r="F4" s="145"/>
      <c r="G4" s="145"/>
      <c r="H4" s="145"/>
      <c r="I4" s="145"/>
      <c r="J4" s="145"/>
      <c r="K4" s="145"/>
      <c r="L4" s="145"/>
    </row>
    <row r="5" spans="1:12" x14ac:dyDescent="0.3">
      <c r="A5" s="541" t="s">
        <v>556</v>
      </c>
      <c r="B5" s="541">
        <v>260</v>
      </c>
      <c r="C5" s="541">
        <v>280</v>
      </c>
      <c r="D5" s="541">
        <v>130</v>
      </c>
      <c r="E5" s="541">
        <v>400</v>
      </c>
      <c r="F5" s="145"/>
      <c r="G5" s="145"/>
      <c r="H5" s="145"/>
      <c r="I5" s="145"/>
      <c r="J5" s="145"/>
      <c r="K5" s="145"/>
      <c r="L5" s="145"/>
    </row>
    <row r="6" spans="1:12" x14ac:dyDescent="0.3">
      <c r="A6" s="541" t="s">
        <v>557</v>
      </c>
      <c r="B6" s="541">
        <v>202</v>
      </c>
      <c r="C6" s="541">
        <v>185</v>
      </c>
      <c r="D6" s="541">
        <v>184</v>
      </c>
      <c r="E6" s="541">
        <v>180</v>
      </c>
      <c r="F6" s="145"/>
      <c r="G6" s="145"/>
      <c r="H6" s="145"/>
      <c r="I6" s="145"/>
      <c r="J6" s="145"/>
      <c r="K6" s="145"/>
      <c r="L6" s="145"/>
    </row>
    <row r="7" spans="1:12" x14ac:dyDescent="0.3">
      <c r="A7" s="541" t="s">
        <v>558</v>
      </c>
      <c r="B7" s="541">
        <v>1325</v>
      </c>
      <c r="C7" s="541">
        <v>1617</v>
      </c>
      <c r="D7" s="541">
        <v>473</v>
      </c>
      <c r="E7" s="541">
        <v>1930</v>
      </c>
      <c r="F7" s="145"/>
      <c r="G7" s="145"/>
      <c r="H7" s="145"/>
      <c r="I7" s="145"/>
      <c r="J7" s="145"/>
      <c r="K7" s="145"/>
      <c r="L7" s="145"/>
    </row>
    <row r="8" spans="1:12" x14ac:dyDescent="0.3">
      <c r="A8" s="541" t="s">
        <v>559</v>
      </c>
      <c r="B8" s="541">
        <v>1928</v>
      </c>
      <c r="C8" s="541">
        <v>2273</v>
      </c>
      <c r="D8" s="541">
        <v>1061</v>
      </c>
      <c r="E8" s="541">
        <v>3334</v>
      </c>
      <c r="F8" s="145"/>
      <c r="G8" s="145"/>
      <c r="H8" s="145"/>
      <c r="I8" s="145"/>
      <c r="J8" s="145"/>
      <c r="K8" s="145"/>
      <c r="L8" s="145"/>
    </row>
    <row r="9" spans="1:12" x14ac:dyDescent="0.3">
      <c r="A9" s="541" t="s">
        <v>560</v>
      </c>
      <c r="B9" s="541">
        <v>35.6</v>
      </c>
      <c r="C9" s="541">
        <v>35.5</v>
      </c>
      <c r="D9" s="541">
        <v>35.5</v>
      </c>
      <c r="E9" s="541">
        <v>35.200000000000003</v>
      </c>
      <c r="F9" s="145"/>
      <c r="G9" s="145"/>
      <c r="H9" s="145"/>
      <c r="I9" s="145"/>
      <c r="J9" s="145"/>
      <c r="K9" s="145"/>
      <c r="L9" s="145"/>
    </row>
    <row r="10" spans="1:12" x14ac:dyDescent="0.3">
      <c r="A10" s="541" t="s">
        <v>561</v>
      </c>
      <c r="B10" s="541">
        <v>72.900000000000006</v>
      </c>
      <c r="C10" s="541">
        <v>73.5</v>
      </c>
      <c r="D10" s="541">
        <v>67.2</v>
      </c>
      <c r="E10" s="541">
        <v>71.2</v>
      </c>
      <c r="F10" s="145"/>
      <c r="G10" s="145"/>
      <c r="H10" s="145"/>
      <c r="I10" s="145"/>
      <c r="J10" s="145"/>
      <c r="K10" s="145"/>
      <c r="L10" s="145"/>
    </row>
    <row r="11" spans="1:12" x14ac:dyDescent="0.3">
      <c r="A11" s="145"/>
      <c r="B11" s="145"/>
      <c r="C11" s="145"/>
      <c r="D11" s="145"/>
      <c r="E11" s="145"/>
      <c r="F11" s="145"/>
      <c r="G11" s="145"/>
      <c r="H11" s="145"/>
      <c r="I11" s="145"/>
      <c r="J11" s="145"/>
      <c r="K11" s="145"/>
      <c r="L11" s="145"/>
    </row>
    <row r="12" spans="1:12" x14ac:dyDescent="0.3">
      <c r="A12" s="145"/>
      <c r="B12" s="544" t="s">
        <v>562</v>
      </c>
      <c r="C12" s="544"/>
      <c r="D12" s="544"/>
      <c r="E12" s="145"/>
      <c r="F12" s="145"/>
      <c r="G12" s="145"/>
      <c r="H12" s="145"/>
      <c r="I12" s="145"/>
      <c r="J12" s="145"/>
      <c r="K12" s="145"/>
      <c r="L12" s="145"/>
    </row>
  </sheetData>
  <pageMargins left="0.7" right="0.7" top="0.75" bottom="0.75" header="0.3" footer="0.3"/>
  <pageSetup paperSize="256"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15651-91A5-405D-96F4-CB4A878B3C6A}">
  <sheetPr>
    <tabColor theme="1"/>
  </sheetPr>
  <dimension ref="B7:BB54"/>
  <sheetViews>
    <sheetView topLeftCell="AB1" zoomScale="98" zoomScaleNormal="98" workbookViewId="0">
      <selection activeCell="AE7" sqref="AE7"/>
    </sheetView>
  </sheetViews>
  <sheetFormatPr defaultColWidth="9.15234375" defaultRowHeight="14.6" x14ac:dyDescent="0.4"/>
  <cols>
    <col min="1" max="1" width="7.69140625" style="18" bestFit="1" customWidth="1"/>
    <col min="2" max="2" width="7" style="18" bestFit="1" customWidth="1"/>
    <col min="3" max="4" width="7.69140625" style="18" bestFit="1" customWidth="1"/>
    <col min="5" max="5" width="7.84375" style="18" bestFit="1" customWidth="1"/>
    <col min="6" max="6" width="7.15234375" style="18" bestFit="1" customWidth="1"/>
    <col min="7" max="7" width="6.3828125" style="18" bestFit="1" customWidth="1"/>
    <col min="8" max="8" width="9" style="18" bestFit="1" customWidth="1"/>
    <col min="9" max="9" width="7.84375" style="18" bestFit="1" customWidth="1"/>
    <col min="10" max="10" width="6.15234375" style="18" bestFit="1" customWidth="1"/>
    <col min="11" max="11" width="7.53515625" style="18" bestFit="1" customWidth="1"/>
    <col min="12" max="12" width="5.69140625" style="18" bestFit="1" customWidth="1"/>
    <col min="13" max="13" width="7" style="18" bestFit="1" customWidth="1"/>
    <col min="14" max="15" width="9.15234375" style="18"/>
    <col min="16" max="16" width="42.3046875" style="18" customWidth="1"/>
    <col min="17" max="17" width="12.69140625" style="18" bestFit="1" customWidth="1"/>
    <col min="18" max="18" width="22.53515625" style="18" customWidth="1"/>
    <col min="19" max="19" width="8.69140625" style="18" customWidth="1"/>
    <col min="20" max="20" width="5.15234375" style="18" customWidth="1"/>
    <col min="21" max="21" width="12.53515625" style="18" bestFit="1" customWidth="1"/>
    <col min="22" max="22" width="29.15234375" style="18" customWidth="1"/>
    <col min="23" max="23" width="9.15234375" style="18"/>
    <col min="24" max="24" width="20.53515625" style="18" bestFit="1" customWidth="1"/>
    <col min="25" max="25" width="9.15234375" style="18"/>
    <col min="26" max="26" width="16.84375" style="18" bestFit="1" customWidth="1"/>
    <col min="27" max="27" width="23" style="18" bestFit="1" customWidth="1"/>
    <col min="28" max="28" width="9.15234375" style="18"/>
    <col min="29" max="29" width="50.53515625" style="18" bestFit="1" customWidth="1"/>
    <col min="30" max="30" width="13.53515625" style="18" bestFit="1" customWidth="1"/>
    <col min="31" max="31" width="53.15234375" style="18" bestFit="1" customWidth="1"/>
    <col min="32" max="32" width="9.15234375" style="18"/>
    <col min="33" max="33" width="23" style="18" bestFit="1" customWidth="1"/>
    <col min="34" max="34" width="9.15234375" style="18"/>
    <col min="35" max="35" width="10.84375" bestFit="1" customWidth="1"/>
    <col min="55" max="16384" width="9.15234375" style="18"/>
  </cols>
  <sheetData>
    <row r="7" spans="2:33" x14ac:dyDescent="0.4">
      <c r="O7" s="432"/>
      <c r="P7" s="432"/>
      <c r="Q7" s="432"/>
      <c r="R7" s="432"/>
      <c r="S7" s="432"/>
    </row>
    <row r="8" spans="2:33" ht="15" thickBot="1" x14ac:dyDescent="0.45">
      <c r="O8" s="432" t="s">
        <v>466</v>
      </c>
      <c r="P8" s="432"/>
      <c r="Q8" s="432"/>
      <c r="R8" s="432"/>
      <c r="S8" s="432"/>
      <c r="V8" s="432" t="s">
        <v>467</v>
      </c>
      <c r="AB8" s="432" t="s">
        <v>156</v>
      </c>
    </row>
    <row r="9" spans="2:33" ht="18.45" x14ac:dyDescent="0.5">
      <c r="B9" s="140" t="s">
        <v>468</v>
      </c>
      <c r="C9" s="128"/>
      <c r="D9" s="128"/>
      <c r="E9" s="128"/>
      <c r="F9" s="128"/>
      <c r="G9" s="128"/>
      <c r="H9" s="128"/>
      <c r="I9" s="128"/>
      <c r="J9" s="128"/>
      <c r="K9" s="128"/>
      <c r="L9" s="128"/>
      <c r="M9" s="129"/>
      <c r="O9" s="154" t="s">
        <v>469</v>
      </c>
      <c r="P9" s="155"/>
      <c r="Q9" s="455"/>
      <c r="R9" s="455" t="s">
        <v>470</v>
      </c>
      <c r="S9" s="455"/>
      <c r="T9" s="155"/>
      <c r="U9" s="155"/>
      <c r="V9" s="154" t="s">
        <v>469</v>
      </c>
      <c r="W9" s="155"/>
      <c r="X9" s="455"/>
      <c r="Y9" s="455" t="s">
        <v>470</v>
      </c>
      <c r="Z9" s="455"/>
      <c r="AA9" s="155"/>
      <c r="AB9" s="140" t="s">
        <v>469</v>
      </c>
      <c r="AC9" s="128"/>
      <c r="AD9" s="456"/>
      <c r="AE9" s="456" t="s">
        <v>470</v>
      </c>
      <c r="AF9" s="128"/>
      <c r="AG9" s="129"/>
    </row>
    <row r="10" spans="2:33" x14ac:dyDescent="0.4">
      <c r="B10" s="130"/>
      <c r="C10" s="17"/>
      <c r="M10" s="131"/>
      <c r="O10" s="457" t="s">
        <v>471</v>
      </c>
      <c r="P10" s="146" t="s">
        <v>472</v>
      </c>
      <c r="Q10" s="147">
        <f>'Homes - Inputs'!D28</f>
        <v>837.58</v>
      </c>
      <c r="R10" s="148" t="s">
        <v>21</v>
      </c>
      <c r="S10" s="149"/>
      <c r="T10" s="145"/>
      <c r="U10" s="145"/>
      <c r="V10" s="457" t="s">
        <v>471</v>
      </c>
      <c r="W10" s="146" t="s">
        <v>472</v>
      </c>
      <c r="X10" s="305">
        <f>'Neighborhood Inputs'!F28</f>
        <v>56175</v>
      </c>
      <c r="Y10" s="148" t="s">
        <v>21</v>
      </c>
      <c r="Z10" s="149"/>
      <c r="AA10" s="145"/>
      <c r="AB10" s="458" t="s">
        <v>471</v>
      </c>
      <c r="AC10" s="146" t="s">
        <v>472</v>
      </c>
      <c r="AD10" s="305">
        <f>'Neighborhood Inputs'!E28</f>
        <v>4454</v>
      </c>
      <c r="AE10" s="148" t="s">
        <v>21</v>
      </c>
      <c r="AG10" s="131"/>
    </row>
    <row r="11" spans="2:33" x14ac:dyDescent="0.4">
      <c r="B11" s="458" t="s">
        <v>471</v>
      </c>
      <c r="C11" s="17"/>
      <c r="M11" s="131"/>
      <c r="O11" s="156"/>
      <c r="P11" s="146" t="s">
        <v>473</v>
      </c>
      <c r="Q11" s="192">
        <f>32177/Q10</f>
        <v>38.416628859332839</v>
      </c>
      <c r="R11" s="149" t="s">
        <v>474</v>
      </c>
      <c r="S11" s="459"/>
      <c r="T11" s="145"/>
      <c r="U11" s="145"/>
      <c r="V11" s="156"/>
      <c r="W11" s="146" t="s">
        <v>473</v>
      </c>
      <c r="X11" s="192">
        <f>'Neighborhood - TMY3'!BH50*12000/'Std Calcs'!X10</f>
        <v>20.691102774440409</v>
      </c>
      <c r="Y11" s="149" t="s">
        <v>474</v>
      </c>
      <c r="Z11" s="459"/>
      <c r="AA11" s="145"/>
      <c r="AB11" s="437"/>
      <c r="AC11" s="146" t="s">
        <v>473</v>
      </c>
      <c r="AD11" s="192">
        <f>'Neighborhood - TMY3'!AR50*12000/'Std Calcs'!AD10</f>
        <v>42.646560359384154</v>
      </c>
      <c r="AE11" s="149" t="s">
        <v>474</v>
      </c>
      <c r="AG11" s="131"/>
    </row>
    <row r="12" spans="2:33" x14ac:dyDescent="0.4">
      <c r="B12" s="132"/>
      <c r="C12" s="17"/>
      <c r="M12" s="131"/>
      <c r="O12" s="156"/>
      <c r="P12" s="146" t="s">
        <v>475</v>
      </c>
      <c r="Q12" s="192">
        <f>Q10/(16871/12000)</f>
        <v>595.75366012684492</v>
      </c>
      <c r="R12" s="149" t="s">
        <v>476</v>
      </c>
      <c r="S12" s="149"/>
      <c r="T12" s="145"/>
      <c r="U12" s="145"/>
      <c r="V12" s="156"/>
      <c r="W12" s="146" t="s">
        <v>475</v>
      </c>
      <c r="X12" s="192">
        <f>X10/'Neighborhood - TMY3'!BI50</f>
        <v>526.98082907500884</v>
      </c>
      <c r="Y12" s="149" t="s">
        <v>476</v>
      </c>
      <c r="Z12" s="149"/>
      <c r="AA12" s="145"/>
      <c r="AB12" s="437"/>
      <c r="AC12" s="146" t="s">
        <v>475</v>
      </c>
      <c r="AD12" s="192">
        <f>AD10/'Neighborhood - TMY3'!AS50</f>
        <v>318.71511739804083</v>
      </c>
      <c r="AE12" s="149" t="s">
        <v>476</v>
      </c>
      <c r="AG12" s="131"/>
    </row>
    <row r="13" spans="2:33" x14ac:dyDescent="0.4">
      <c r="B13" s="132"/>
      <c r="C13" s="17"/>
      <c r="M13" s="131"/>
      <c r="O13" s="460"/>
      <c r="P13" s="146"/>
      <c r="Q13" s="151"/>
      <c r="R13" s="149"/>
      <c r="S13" s="149"/>
      <c r="T13" s="145"/>
      <c r="U13" s="145"/>
      <c r="V13" s="460"/>
      <c r="W13" s="146"/>
      <c r="X13" s="151"/>
      <c r="Y13" s="149"/>
      <c r="Z13" s="149"/>
      <c r="AA13" s="145"/>
      <c r="AB13" s="461"/>
      <c r="AC13" s="146"/>
      <c r="AD13" s="151"/>
      <c r="AE13" s="149"/>
      <c r="AG13" s="131"/>
    </row>
    <row r="14" spans="2:33" x14ac:dyDescent="0.4">
      <c r="B14" s="133" t="s">
        <v>477</v>
      </c>
      <c r="C14" s="17"/>
      <c r="D14" s="109" t="s">
        <v>478</v>
      </c>
      <c r="E14" s="109" t="s">
        <v>479</v>
      </c>
      <c r="G14" s="787" t="s">
        <v>478</v>
      </c>
      <c r="H14" s="787"/>
      <c r="I14" s="787"/>
      <c r="J14" s="787" t="s">
        <v>479</v>
      </c>
      <c r="K14" s="787"/>
      <c r="L14" s="787"/>
      <c r="M14" s="131"/>
      <c r="O14" s="460"/>
      <c r="P14" s="462" t="s">
        <v>480</v>
      </c>
      <c r="Q14" s="150">
        <v>2.5</v>
      </c>
      <c r="R14" s="149"/>
      <c r="S14" s="149"/>
      <c r="T14" s="145"/>
      <c r="U14" s="145"/>
      <c r="V14" s="460"/>
      <c r="W14" s="462" t="s">
        <v>480</v>
      </c>
      <c r="X14" s="150">
        <v>4</v>
      </c>
      <c r="Y14" s="149"/>
      <c r="Z14" s="149"/>
      <c r="AA14" s="145"/>
      <c r="AB14" s="461"/>
      <c r="AC14" s="462" t="s">
        <v>480</v>
      </c>
      <c r="AD14" s="150">
        <v>4</v>
      </c>
      <c r="AE14" s="149"/>
      <c r="AG14" s="131"/>
    </row>
    <row r="15" spans="2:33" x14ac:dyDescent="0.4">
      <c r="B15" s="134" t="s">
        <v>481</v>
      </c>
      <c r="C15" s="19" t="s">
        <v>482</v>
      </c>
      <c r="D15" s="19" t="s">
        <v>483</v>
      </c>
      <c r="E15" s="19" t="s">
        <v>483</v>
      </c>
      <c r="G15" s="19" t="s">
        <v>484</v>
      </c>
      <c r="H15" s="19" t="s">
        <v>485</v>
      </c>
      <c r="I15" s="19" t="s">
        <v>486</v>
      </c>
      <c r="J15" s="19" t="s">
        <v>484</v>
      </c>
      <c r="K15" s="19" t="s">
        <v>485</v>
      </c>
      <c r="L15" s="19" t="s">
        <v>486</v>
      </c>
      <c r="M15" s="463" t="s">
        <v>487</v>
      </c>
      <c r="O15" s="460"/>
      <c r="P15" s="462" t="s">
        <v>488</v>
      </c>
      <c r="Q15" s="150">
        <v>4</v>
      </c>
      <c r="R15" s="149"/>
      <c r="S15" s="149"/>
      <c r="T15" s="145"/>
      <c r="U15" s="145"/>
      <c r="V15" s="460"/>
      <c r="W15" s="462" t="s">
        <v>488</v>
      </c>
      <c r="X15" s="150">
        <v>4.8</v>
      </c>
      <c r="Y15" s="149"/>
      <c r="Z15" s="149"/>
      <c r="AA15" s="145"/>
      <c r="AB15" s="461"/>
      <c r="AC15" s="462" t="s">
        <v>488</v>
      </c>
      <c r="AD15" s="150">
        <v>4.8</v>
      </c>
      <c r="AE15" s="149"/>
      <c r="AG15" s="131"/>
    </row>
    <row r="16" spans="2:33" x14ac:dyDescent="0.4">
      <c r="B16" s="464" t="s">
        <v>489</v>
      </c>
      <c r="C16" s="119">
        <v>1350</v>
      </c>
      <c r="D16" s="120">
        <v>3.25</v>
      </c>
      <c r="E16" s="121"/>
      <c r="G16" s="122">
        <v>0.6</v>
      </c>
      <c r="H16" s="123">
        <f>D16/(C16*0.000157)*G16</f>
        <v>9.2002830856334032</v>
      </c>
      <c r="I16" s="123">
        <f>D16*0.75</f>
        <v>2.4375</v>
      </c>
      <c r="J16" s="122">
        <v>0.7</v>
      </c>
      <c r="K16" s="123">
        <f t="shared" ref="K16:K20" si="0">E16/(C16*0.000157)*J16</f>
        <v>0</v>
      </c>
      <c r="L16" s="123">
        <f>E16*0.75</f>
        <v>0</v>
      </c>
      <c r="M16" s="302">
        <f>I16*1000/C16</f>
        <v>1.8055555555555556</v>
      </c>
      <c r="O16" s="460"/>
      <c r="P16" s="432"/>
      <c r="Q16" s="432"/>
      <c r="R16" s="149"/>
      <c r="S16" s="149"/>
      <c r="T16" s="145"/>
      <c r="U16" s="145"/>
      <c r="V16" s="460"/>
      <c r="W16" s="432"/>
      <c r="X16" s="432"/>
      <c r="Y16" s="149"/>
      <c r="Z16" s="149"/>
      <c r="AA16" s="145"/>
      <c r="AB16" s="461"/>
      <c r="AC16" s="432"/>
      <c r="AD16" s="432"/>
      <c r="AE16" s="149"/>
      <c r="AG16" s="131"/>
    </row>
    <row r="17" spans="2:33" x14ac:dyDescent="0.4">
      <c r="B17" s="135"/>
      <c r="C17" s="119"/>
      <c r="D17" s="120"/>
      <c r="E17" s="121"/>
      <c r="F17" s="136"/>
      <c r="G17" s="122">
        <v>0.6</v>
      </c>
      <c r="H17" s="123" t="e">
        <f>D17/(C17*0.000157)*G17</f>
        <v>#DIV/0!</v>
      </c>
      <c r="I17" s="123">
        <f>D17*0.75</f>
        <v>0</v>
      </c>
      <c r="J17" s="122">
        <v>0.7</v>
      </c>
      <c r="K17" s="123" t="e">
        <f>E17/(C17*0.000157)*J17</f>
        <v>#DIV/0!</v>
      </c>
      <c r="L17" s="123">
        <f t="shared" ref="L17:L22" si="1">E17*0.75</f>
        <v>0</v>
      </c>
      <c r="M17" s="131"/>
      <c r="O17" s="460"/>
      <c r="P17" s="788" t="s">
        <v>490</v>
      </c>
      <c r="Q17" s="788"/>
      <c r="R17" s="788"/>
      <c r="S17" s="149"/>
      <c r="T17" s="145"/>
      <c r="U17" s="145"/>
      <c r="V17" s="460"/>
      <c r="W17" s="788" t="s">
        <v>490</v>
      </c>
      <c r="X17" s="788"/>
      <c r="Y17" s="788"/>
      <c r="Z17" s="149"/>
      <c r="AA17" s="145"/>
      <c r="AB17" s="461"/>
      <c r="AC17" s="788" t="s">
        <v>490</v>
      </c>
      <c r="AD17" s="788"/>
      <c r="AE17" s="788"/>
      <c r="AG17" s="131"/>
    </row>
    <row r="18" spans="2:33" x14ac:dyDescent="0.4">
      <c r="B18" s="135"/>
      <c r="C18" s="119"/>
      <c r="D18" s="120"/>
      <c r="E18" s="121"/>
      <c r="F18" s="136"/>
      <c r="G18" s="122">
        <v>0.6</v>
      </c>
      <c r="H18" s="123" t="e">
        <f t="shared" ref="H18:H20" si="2">D18/(C18*0.000157)*G18</f>
        <v>#DIV/0!</v>
      </c>
      <c r="I18" s="123">
        <f t="shared" ref="I18:I20" si="3">D18*0.75</f>
        <v>0</v>
      </c>
      <c r="J18" s="122">
        <v>0.7</v>
      </c>
      <c r="K18" s="123" t="e">
        <f t="shared" si="0"/>
        <v>#DIV/0!</v>
      </c>
      <c r="L18" s="123">
        <f t="shared" si="1"/>
        <v>0</v>
      </c>
      <c r="M18" s="131"/>
      <c r="O18" s="460"/>
      <c r="P18" s="462" t="s">
        <v>491</v>
      </c>
      <c r="Q18" s="152">
        <f>Q10/Q12*2.4</f>
        <v>3.3742000000000001</v>
      </c>
      <c r="R18" s="149" t="s">
        <v>492</v>
      </c>
      <c r="S18" s="149"/>
      <c r="T18" s="145"/>
      <c r="U18" s="145"/>
      <c r="V18" s="460"/>
      <c r="W18" s="462" t="s">
        <v>491</v>
      </c>
      <c r="X18" s="152">
        <f>X10/X12*2.4</f>
        <v>255.83473356449201</v>
      </c>
      <c r="Y18" s="149" t="s">
        <v>492</v>
      </c>
      <c r="Z18" s="149"/>
      <c r="AA18" s="145"/>
      <c r="AB18" s="461"/>
      <c r="AC18" s="462" t="s">
        <v>491</v>
      </c>
      <c r="AD18" s="438">
        <f>AD10/AD12*2.4</f>
        <v>33.539670434426995</v>
      </c>
      <c r="AE18" s="149" t="s">
        <v>492</v>
      </c>
      <c r="AG18" s="131"/>
    </row>
    <row r="19" spans="2:33" x14ac:dyDescent="0.4">
      <c r="B19" s="135"/>
      <c r="C19" s="119"/>
      <c r="D19" s="120"/>
      <c r="E19" s="121"/>
      <c r="F19" s="136"/>
      <c r="G19" s="122">
        <v>0.6</v>
      </c>
      <c r="H19" s="123" t="e">
        <f t="shared" si="2"/>
        <v>#DIV/0!</v>
      </c>
      <c r="I19" s="123">
        <f t="shared" si="3"/>
        <v>0</v>
      </c>
      <c r="J19" s="122">
        <v>0.7</v>
      </c>
      <c r="K19" s="123" t="e">
        <f t="shared" si="0"/>
        <v>#DIV/0!</v>
      </c>
      <c r="L19" s="123">
        <f t="shared" si="1"/>
        <v>0</v>
      </c>
      <c r="M19" s="131"/>
      <c r="O19" s="460"/>
      <c r="P19" s="462" t="s">
        <v>493</v>
      </c>
      <c r="Q19" s="152">
        <f>Q10/Q12*3</f>
        <v>4.2177500000000006</v>
      </c>
      <c r="R19" s="149" t="s">
        <v>494</v>
      </c>
      <c r="S19" s="149"/>
      <c r="T19" s="145"/>
      <c r="U19" s="145"/>
      <c r="V19" s="460"/>
      <c r="W19" s="462" t="s">
        <v>493</v>
      </c>
      <c r="X19" s="152">
        <f>X10/X12*3</f>
        <v>319.79341695561504</v>
      </c>
      <c r="Y19" s="149" t="s">
        <v>494</v>
      </c>
      <c r="Z19" s="149"/>
      <c r="AA19" s="145"/>
      <c r="AB19" s="461"/>
      <c r="AC19" s="462" t="s">
        <v>493</v>
      </c>
      <c r="AD19" s="438">
        <f>AD10/AD12*3</f>
        <v>41.924588043033751</v>
      </c>
      <c r="AE19" s="149" t="s">
        <v>494</v>
      </c>
      <c r="AF19" s="432"/>
      <c r="AG19" s="131"/>
    </row>
    <row r="20" spans="2:33" x14ac:dyDescent="0.4">
      <c r="B20" s="135"/>
      <c r="C20" s="119"/>
      <c r="D20" s="120"/>
      <c r="E20" s="121"/>
      <c r="F20" s="136"/>
      <c r="G20" s="122">
        <v>0.6</v>
      </c>
      <c r="H20" s="123" t="e">
        <f t="shared" si="2"/>
        <v>#DIV/0!</v>
      </c>
      <c r="I20" s="123">
        <f t="shared" si="3"/>
        <v>0</v>
      </c>
      <c r="J20" s="122">
        <v>0.7</v>
      </c>
      <c r="K20" s="123" t="e">
        <f t="shared" si="0"/>
        <v>#DIV/0!</v>
      </c>
      <c r="L20" s="123">
        <f t="shared" si="1"/>
        <v>0</v>
      </c>
      <c r="M20" s="131"/>
      <c r="O20" s="460"/>
      <c r="P20" s="462" t="s">
        <v>495</v>
      </c>
      <c r="Q20" s="153">
        <f>Q10/Q12/3.415*12000</f>
        <v>4940.2635431918015</v>
      </c>
      <c r="R20" s="148" t="s">
        <v>21</v>
      </c>
      <c r="S20" s="149"/>
      <c r="T20" s="145"/>
      <c r="U20" s="145"/>
      <c r="V20" s="460"/>
      <c r="W20" s="462" t="s">
        <v>495</v>
      </c>
      <c r="X20" s="153">
        <f>X10/X12/3.415*12000</f>
        <v>374575.01253951981</v>
      </c>
      <c r="Y20" s="148" t="s">
        <v>21</v>
      </c>
      <c r="Z20" s="430">
        <f>X20*3.412*1.5/3</f>
        <v>639024.97139242082</v>
      </c>
      <c r="AA20" s="436" t="s">
        <v>496</v>
      </c>
      <c r="AB20" s="461"/>
      <c r="AC20" s="462" t="s">
        <v>495</v>
      </c>
      <c r="AD20" s="438">
        <f>AD10/AD12/3.415*12000</f>
        <v>49106.398879102482</v>
      </c>
      <c r="AE20" s="148" t="s">
        <v>21</v>
      </c>
      <c r="AF20" s="439">
        <f>AD20*3.412*1.5</f>
        <v>251326.54946324648</v>
      </c>
      <c r="AG20" s="440" t="s">
        <v>496</v>
      </c>
    </row>
    <row r="21" spans="2:33" x14ac:dyDescent="0.4">
      <c r="B21" s="135"/>
      <c r="C21" s="119"/>
      <c r="D21" s="120"/>
      <c r="E21" s="121"/>
      <c r="F21" s="136"/>
      <c r="G21" s="122"/>
      <c r="H21" s="123"/>
      <c r="I21" s="123"/>
      <c r="J21" s="122"/>
      <c r="K21" s="123"/>
      <c r="L21" s="123"/>
      <c r="M21" s="131"/>
      <c r="O21" s="460"/>
      <c r="P21" s="462" t="s">
        <v>497</v>
      </c>
      <c r="Q21" s="153">
        <f>Q10/Q12</f>
        <v>1.4059166666666667</v>
      </c>
      <c r="R21" s="148"/>
      <c r="S21" s="149"/>
      <c r="T21" s="145"/>
      <c r="U21" s="145"/>
      <c r="V21" s="460"/>
      <c r="W21" s="462" t="s">
        <v>497</v>
      </c>
      <c r="X21" s="153">
        <f>X10/X12</f>
        <v>106.59780565187168</v>
      </c>
      <c r="Y21" s="148"/>
      <c r="Z21" s="430">
        <f>Z20*0.7</f>
        <v>447317.47997469455</v>
      </c>
      <c r="AA21" s="436" t="s">
        <v>498</v>
      </c>
      <c r="AB21" s="461"/>
      <c r="AC21" s="462" t="s">
        <v>497</v>
      </c>
      <c r="AD21" s="438">
        <f>AD10/AD12</f>
        <v>13.974862681011249</v>
      </c>
      <c r="AE21" s="148"/>
      <c r="AF21" s="439">
        <f>AF20*0.7</f>
        <v>175928.58462427254</v>
      </c>
      <c r="AG21" s="440" t="s">
        <v>498</v>
      </c>
    </row>
    <row r="22" spans="2:33" x14ac:dyDescent="0.4">
      <c r="B22" s="135"/>
      <c r="C22" s="119"/>
      <c r="D22" s="120"/>
      <c r="E22" s="121"/>
      <c r="F22" s="136"/>
      <c r="G22" s="122">
        <v>0.7</v>
      </c>
      <c r="H22" s="123" t="e">
        <f>D22/(C22*0.000157)*G22</f>
        <v>#DIV/0!</v>
      </c>
      <c r="I22" s="123">
        <f>D22*0.75</f>
        <v>0</v>
      </c>
      <c r="J22" s="122">
        <v>0.7</v>
      </c>
      <c r="K22" s="123" t="e">
        <f>E22/(C22*0.000157)*J22</f>
        <v>#DIV/0!</v>
      </c>
      <c r="L22" s="123">
        <f t="shared" si="1"/>
        <v>0</v>
      </c>
      <c r="M22" s="131"/>
      <c r="O22" s="460"/>
      <c r="P22" s="462" t="s">
        <v>499</v>
      </c>
      <c r="Q22" s="153">
        <f>Q20/Q15</f>
        <v>1235.0658857979504</v>
      </c>
      <c r="R22" s="148" t="s">
        <v>21</v>
      </c>
      <c r="S22" s="149"/>
      <c r="T22" s="145"/>
      <c r="U22" s="145"/>
      <c r="V22" s="460"/>
      <c r="W22" s="462" t="s">
        <v>499</v>
      </c>
      <c r="X22" s="153">
        <f>X20/X15</f>
        <v>78036.460945733299</v>
      </c>
      <c r="Y22" s="148" t="s">
        <v>21</v>
      </c>
      <c r="Z22" s="149"/>
      <c r="AA22" s="145"/>
      <c r="AB22" s="461"/>
      <c r="AC22" s="462" t="s">
        <v>499</v>
      </c>
      <c r="AD22" s="438">
        <f>AD20/AD15</f>
        <v>10230.499766479685</v>
      </c>
      <c r="AE22" s="148" t="s">
        <v>21</v>
      </c>
      <c r="AF22" s="145"/>
      <c r="AG22" s="131"/>
    </row>
    <row r="23" spans="2:33" x14ac:dyDescent="0.4">
      <c r="B23" s="132"/>
      <c r="C23" s="17"/>
      <c r="M23" s="131"/>
      <c r="O23" s="460"/>
      <c r="P23" s="432"/>
      <c r="Q23" s="465"/>
      <c r="R23" s="149"/>
      <c r="S23" s="149"/>
      <c r="T23" s="145"/>
      <c r="U23" s="145"/>
      <c r="V23" s="460"/>
      <c r="W23" s="432"/>
      <c r="X23" s="465"/>
      <c r="Y23" s="149"/>
      <c r="Z23" s="149"/>
      <c r="AA23" s="145"/>
      <c r="AB23" s="461"/>
      <c r="AC23" s="432"/>
      <c r="AD23" s="465"/>
      <c r="AE23" s="149"/>
      <c r="AG23" s="131"/>
    </row>
    <row r="24" spans="2:33" x14ac:dyDescent="0.4">
      <c r="B24" s="132"/>
      <c r="C24" s="17"/>
      <c r="M24" s="131"/>
      <c r="O24" s="460"/>
      <c r="P24" s="788" t="s">
        <v>500</v>
      </c>
      <c r="Q24" s="788"/>
      <c r="R24" s="788"/>
      <c r="S24" s="149"/>
      <c r="T24" s="145"/>
      <c r="U24" s="145"/>
      <c r="V24" s="460"/>
      <c r="W24" s="788" t="s">
        <v>500</v>
      </c>
      <c r="X24" s="788"/>
      <c r="Y24" s="788"/>
      <c r="Z24" s="149"/>
      <c r="AA24" s="145"/>
      <c r="AB24" s="461"/>
      <c r="AC24" s="788" t="s">
        <v>500</v>
      </c>
      <c r="AD24" s="788"/>
      <c r="AE24" s="788"/>
      <c r="AG24" s="131"/>
    </row>
    <row r="25" spans="2:33" x14ac:dyDescent="0.4">
      <c r="B25" s="133" t="s">
        <v>501</v>
      </c>
      <c r="C25" s="17"/>
      <c r="M25" s="131"/>
      <c r="O25" s="460"/>
      <c r="P25" s="462" t="s">
        <v>491</v>
      </c>
      <c r="Q25" s="152">
        <f>Q10*Q11/10000*1</f>
        <v>3.2176999999999998</v>
      </c>
      <c r="R25" s="149" t="s">
        <v>502</v>
      </c>
      <c r="S25" s="149"/>
      <c r="T25" s="145"/>
      <c r="U25" s="145"/>
      <c r="V25" s="460"/>
      <c r="W25" s="462" t="s">
        <v>491</v>
      </c>
      <c r="X25" s="152">
        <f>X10*X11/10000*1</f>
        <v>116.232269835419</v>
      </c>
      <c r="Y25" s="149" t="s">
        <v>502</v>
      </c>
      <c r="Z25" s="149"/>
      <c r="AA25" s="145"/>
      <c r="AB25" s="461"/>
      <c r="AC25" s="462" t="s">
        <v>491</v>
      </c>
      <c r="AD25" s="438">
        <f>AD10*AD11/10000*1</f>
        <v>18.9947779840697</v>
      </c>
      <c r="AE25" s="149" t="s">
        <v>502</v>
      </c>
      <c r="AG25" s="131"/>
    </row>
    <row r="26" spans="2:33" x14ac:dyDescent="0.4">
      <c r="B26" s="134" t="s">
        <v>481</v>
      </c>
      <c r="C26" s="19" t="s">
        <v>482</v>
      </c>
      <c r="D26" s="19" t="s">
        <v>485</v>
      </c>
      <c r="E26" s="19" t="s">
        <v>489</v>
      </c>
      <c r="G26" s="19" t="s">
        <v>503</v>
      </c>
      <c r="M26" s="131"/>
      <c r="O26" s="460"/>
      <c r="P26" s="462" t="s">
        <v>493</v>
      </c>
      <c r="Q26" s="152">
        <f>Q19</f>
        <v>4.2177500000000006</v>
      </c>
      <c r="R26" s="149" t="s">
        <v>494</v>
      </c>
      <c r="S26" s="149"/>
      <c r="T26" s="145"/>
      <c r="U26" s="145"/>
      <c r="V26" s="460"/>
      <c r="W26" s="462" t="s">
        <v>493</v>
      </c>
      <c r="X26" s="152">
        <f>X19</f>
        <v>319.79341695561504</v>
      </c>
      <c r="Y26" s="149" t="s">
        <v>494</v>
      </c>
      <c r="Z26" s="149"/>
      <c r="AA26" s="145"/>
      <c r="AB26" s="461"/>
      <c r="AC26" s="462" t="s">
        <v>493</v>
      </c>
      <c r="AD26" s="438">
        <f>AD19</f>
        <v>41.924588043033751</v>
      </c>
      <c r="AE26" s="149" t="s">
        <v>494</v>
      </c>
      <c r="AG26" s="131"/>
    </row>
    <row r="27" spans="2:33" x14ac:dyDescent="0.4">
      <c r="B27" s="135"/>
      <c r="C27" s="119"/>
      <c r="D27" s="118"/>
      <c r="E27" s="118"/>
      <c r="G27" s="119"/>
      <c r="M27" s="131"/>
      <c r="O27" s="460"/>
      <c r="P27" s="462" t="s">
        <v>504</v>
      </c>
      <c r="Q27" s="153">
        <f>Q10*Q11/3.415</f>
        <v>9422.2547584187414</v>
      </c>
      <c r="R27" s="148" t="s">
        <v>21</v>
      </c>
      <c r="S27" s="149"/>
      <c r="T27" s="145"/>
      <c r="U27" s="145"/>
      <c r="V27" s="460"/>
      <c r="W27" s="462" t="s">
        <v>504</v>
      </c>
      <c r="X27" s="153">
        <f>X10*X11/3.415</f>
        <v>340358.03758541436</v>
      </c>
      <c r="Y27" s="148" t="s">
        <v>21</v>
      </c>
      <c r="Z27" s="149"/>
      <c r="AA27" s="145"/>
      <c r="AB27" s="461"/>
      <c r="AC27" s="462" t="s">
        <v>504</v>
      </c>
      <c r="AD27" s="438">
        <f>AD10*AD11/3.415</f>
        <v>55621.604638564277</v>
      </c>
      <c r="AE27" s="148" t="s">
        <v>21</v>
      </c>
      <c r="AG27" s="131"/>
    </row>
    <row r="28" spans="2:33" x14ac:dyDescent="0.4">
      <c r="B28" s="135"/>
      <c r="C28" s="119"/>
      <c r="D28" s="118"/>
      <c r="E28" s="118"/>
      <c r="G28" s="119"/>
      <c r="M28" s="131"/>
      <c r="O28" s="460"/>
      <c r="P28" s="462" t="s">
        <v>505</v>
      </c>
      <c r="Q28" s="153">
        <f>Q10*Q11</f>
        <v>32177</v>
      </c>
      <c r="R28" s="148"/>
      <c r="S28" s="149"/>
      <c r="T28" s="145"/>
      <c r="U28" s="145"/>
      <c r="V28" s="460"/>
      <c r="W28" s="462" t="s">
        <v>505</v>
      </c>
      <c r="X28" s="153">
        <f>X10*X11</f>
        <v>1162322.69835419</v>
      </c>
      <c r="Y28" s="148"/>
      <c r="Z28" s="431">
        <f>X28/3</f>
        <v>387440.89945139666</v>
      </c>
      <c r="AA28" s="436" t="s">
        <v>506</v>
      </c>
      <c r="AB28" s="461"/>
      <c r="AC28" s="462" t="s">
        <v>505</v>
      </c>
      <c r="AD28" s="438">
        <f>AD10*AD11</f>
        <v>189947.77984069701</v>
      </c>
      <c r="AE28" s="148"/>
      <c r="AF28" s="434">
        <f>AD28</f>
        <v>189947.77984069701</v>
      </c>
      <c r="AG28" s="440" t="s">
        <v>506</v>
      </c>
    </row>
    <row r="29" spans="2:33" x14ac:dyDescent="0.4">
      <c r="B29" s="135"/>
      <c r="C29" s="119"/>
      <c r="D29" s="118"/>
      <c r="E29" s="118"/>
      <c r="G29" s="119"/>
      <c r="M29" s="131"/>
      <c r="O29" s="460"/>
      <c r="P29" s="462" t="s">
        <v>507</v>
      </c>
      <c r="Q29" s="153">
        <f>Q27/Q14</f>
        <v>3768.9019033674967</v>
      </c>
      <c r="R29" s="148" t="s">
        <v>21</v>
      </c>
      <c r="S29" s="149"/>
      <c r="T29" s="145"/>
      <c r="U29" s="145"/>
      <c r="V29" s="460"/>
      <c r="W29" s="462" t="s">
        <v>507</v>
      </c>
      <c r="X29" s="153">
        <f>X27/X14</f>
        <v>85089.509396353591</v>
      </c>
      <c r="Y29" s="148" t="s">
        <v>21</v>
      </c>
      <c r="Z29" s="149"/>
      <c r="AA29" s="145"/>
      <c r="AB29" s="461"/>
      <c r="AC29" s="462" t="s">
        <v>507</v>
      </c>
      <c r="AD29" s="438">
        <f>AD27/AD14</f>
        <v>13905.401159641069</v>
      </c>
      <c r="AE29" s="148" t="s">
        <v>21</v>
      </c>
      <c r="AG29" s="131"/>
    </row>
    <row r="30" spans="2:33" x14ac:dyDescent="0.4">
      <c r="B30" s="135"/>
      <c r="C30" s="118"/>
      <c r="D30" s="118"/>
      <c r="E30" s="118"/>
      <c r="G30" s="118"/>
      <c r="M30" s="131"/>
      <c r="O30" s="460"/>
      <c r="P30" s="432"/>
      <c r="Q30" s="149"/>
      <c r="R30" s="149"/>
      <c r="S30" s="149"/>
      <c r="T30" s="145"/>
      <c r="U30" s="145"/>
      <c r="V30" s="460"/>
      <c r="W30" s="432"/>
      <c r="X30" s="149"/>
      <c r="Y30" s="149"/>
      <c r="Z30" s="149"/>
      <c r="AA30" s="145"/>
      <c r="AB30" s="461"/>
      <c r="AC30" s="432"/>
      <c r="AD30" s="149"/>
      <c r="AE30" s="149"/>
      <c r="AG30" s="131"/>
    </row>
    <row r="31" spans="2:33" x14ac:dyDescent="0.4">
      <c r="B31" s="135"/>
      <c r="C31" s="118"/>
      <c r="D31" s="118"/>
      <c r="E31" s="118"/>
      <c r="G31" s="118"/>
      <c r="M31" s="131"/>
      <c r="O31" s="460"/>
      <c r="P31" s="786" t="s">
        <v>508</v>
      </c>
      <c r="Q31" s="786"/>
      <c r="R31" s="786"/>
      <c r="S31" s="149"/>
      <c r="T31" s="145"/>
      <c r="U31" s="145"/>
      <c r="V31" s="460"/>
      <c r="W31" s="786" t="s">
        <v>508</v>
      </c>
      <c r="X31" s="786"/>
      <c r="Y31" s="786"/>
      <c r="Z31" s="149"/>
      <c r="AA31" s="145"/>
      <c r="AB31" s="461"/>
      <c r="AC31" s="786" t="s">
        <v>508</v>
      </c>
      <c r="AD31" s="786"/>
      <c r="AE31" s="786"/>
      <c r="AG31" s="131"/>
    </row>
    <row r="32" spans="2:33" x14ac:dyDescent="0.4">
      <c r="B32" s="135"/>
      <c r="C32" s="118"/>
      <c r="D32" s="118"/>
      <c r="E32" s="118"/>
      <c r="G32" s="118"/>
      <c r="M32" s="131"/>
      <c r="O32" s="460"/>
      <c r="P32" s="462" t="s">
        <v>509</v>
      </c>
      <c r="Q32" s="160">
        <f>Q19*2</f>
        <v>8.4355000000000011</v>
      </c>
      <c r="S32" s="149"/>
      <c r="T32" s="145"/>
      <c r="U32" s="145"/>
      <c r="V32" s="460"/>
      <c r="W32" s="462" t="s">
        <v>509</v>
      </c>
      <c r="X32" s="160">
        <f>X19</f>
        <v>319.79341695561504</v>
      </c>
      <c r="Z32" s="149"/>
      <c r="AA32" s="145"/>
      <c r="AB32" s="461"/>
      <c r="AC32" s="462" t="s">
        <v>509</v>
      </c>
      <c r="AD32" s="441">
        <f>AD19*2</f>
        <v>83.849176086067502</v>
      </c>
      <c r="AG32" s="131"/>
    </row>
    <row r="33" spans="2:33" x14ac:dyDescent="0.4">
      <c r="B33" s="132"/>
      <c r="C33" s="17"/>
      <c r="H33" s="19" t="s">
        <v>484</v>
      </c>
      <c r="I33" s="19" t="s">
        <v>485</v>
      </c>
      <c r="J33" s="19" t="s">
        <v>486</v>
      </c>
      <c r="K33" s="19" t="s">
        <v>510</v>
      </c>
      <c r="M33" s="131"/>
      <c r="O33" s="460"/>
      <c r="S33" s="149"/>
      <c r="T33" s="145"/>
      <c r="U33" s="145"/>
      <c r="V33" s="460"/>
      <c r="Z33" s="149"/>
      <c r="AA33" s="145"/>
      <c r="AB33" s="461"/>
      <c r="AG33" s="131"/>
    </row>
    <row r="34" spans="2:33" x14ac:dyDescent="0.4">
      <c r="B34" s="466" t="s">
        <v>511</v>
      </c>
      <c r="C34" s="124">
        <f>SUMPRODUCT(C27:C32,G27:G32)</f>
        <v>0</v>
      </c>
      <c r="D34" s="124"/>
      <c r="E34" s="124">
        <f>SUMPRODUCT(E27:E32,G27:G32)</f>
        <v>0</v>
      </c>
      <c r="H34" s="122"/>
      <c r="I34" s="123" t="e">
        <f>E34/(C34*0.000157)*H34</f>
        <v>#DIV/0!</v>
      </c>
      <c r="J34" s="123">
        <f>E34*0.75</f>
        <v>0</v>
      </c>
      <c r="K34" s="123" t="e">
        <f>J34/C34*1000</f>
        <v>#DIV/0!</v>
      </c>
      <c r="M34" s="131"/>
      <c r="O34" s="156"/>
      <c r="P34" s="786" t="s">
        <v>512</v>
      </c>
      <c r="Q34" s="786"/>
      <c r="R34" s="786"/>
      <c r="S34" s="149"/>
      <c r="T34" s="145"/>
      <c r="U34" s="145"/>
      <c r="V34" s="156"/>
      <c r="W34" s="786" t="s">
        <v>512</v>
      </c>
      <c r="X34" s="786"/>
      <c r="Y34" s="786"/>
      <c r="Z34" s="149"/>
      <c r="AA34" s="145"/>
      <c r="AB34" s="437"/>
      <c r="AC34" s="786" t="s">
        <v>512</v>
      </c>
      <c r="AD34" s="786"/>
      <c r="AE34" s="786"/>
      <c r="AG34" s="131"/>
    </row>
    <row r="35" spans="2:33" ht="15" thickBot="1" x14ac:dyDescent="0.45">
      <c r="B35" s="137"/>
      <c r="C35" s="138"/>
      <c r="D35" s="138"/>
      <c r="E35" s="138"/>
      <c r="F35" s="138"/>
      <c r="G35" s="138"/>
      <c r="H35" s="138"/>
      <c r="I35" s="138"/>
      <c r="J35" s="138"/>
      <c r="K35" s="138"/>
      <c r="L35" s="138"/>
      <c r="M35" s="139"/>
      <c r="O35" s="460"/>
      <c r="P35" s="18" t="s">
        <v>513</v>
      </c>
      <c r="Q35" s="161">
        <f>Q10/Q12/2</f>
        <v>0.70295833333333335</v>
      </c>
      <c r="R35" s="149" t="s">
        <v>514</v>
      </c>
      <c r="S35" s="149"/>
      <c r="T35" s="145"/>
      <c r="U35" s="145"/>
      <c r="V35" s="460"/>
      <c r="W35" s="18" t="s">
        <v>513</v>
      </c>
      <c r="X35" s="161">
        <f>X10/X12</f>
        <v>106.59780565187168</v>
      </c>
      <c r="Y35" s="149" t="s">
        <v>515</v>
      </c>
      <c r="Z35" s="149"/>
      <c r="AA35" s="145"/>
      <c r="AB35" s="461"/>
      <c r="AC35" s="18" t="s">
        <v>513</v>
      </c>
      <c r="AD35" s="161">
        <f>AD10/AD12</f>
        <v>13.974862681011249</v>
      </c>
      <c r="AE35" s="149" t="s">
        <v>515</v>
      </c>
      <c r="AG35" s="131"/>
    </row>
    <row r="36" spans="2:33" x14ac:dyDescent="0.4">
      <c r="O36" s="460"/>
      <c r="P36" s="149"/>
      <c r="Q36" s="149"/>
      <c r="R36" s="149"/>
      <c r="S36" s="149"/>
      <c r="T36" s="145"/>
      <c r="U36" s="145"/>
      <c r="V36" s="460"/>
      <c r="W36" s="149"/>
      <c r="X36" s="149"/>
      <c r="Y36" s="149"/>
      <c r="Z36" s="149"/>
      <c r="AA36" s="145"/>
      <c r="AB36" s="461"/>
      <c r="AC36" s="149"/>
      <c r="AD36" s="149"/>
      <c r="AE36" s="149"/>
      <c r="AG36" s="131"/>
    </row>
    <row r="37" spans="2:33" ht="15" thickBot="1" x14ac:dyDescent="0.45">
      <c r="O37" s="156"/>
      <c r="P37" s="18" t="s">
        <v>516</v>
      </c>
      <c r="Q37" s="150">
        <v>1</v>
      </c>
      <c r="R37" s="149"/>
      <c r="S37" s="149"/>
      <c r="T37" s="145"/>
      <c r="U37" s="145"/>
      <c r="V37" s="156"/>
      <c r="W37" s="18" t="s">
        <v>516</v>
      </c>
      <c r="X37" s="150">
        <v>1</v>
      </c>
      <c r="Y37" s="149"/>
      <c r="Z37" s="149"/>
      <c r="AA37" s="145"/>
      <c r="AB37" s="437"/>
      <c r="AC37" s="18" t="s">
        <v>516</v>
      </c>
      <c r="AD37" s="150">
        <v>1</v>
      </c>
      <c r="AE37" s="149"/>
      <c r="AG37" s="131"/>
    </row>
    <row r="38" spans="2:33" ht="18.45" x14ac:dyDescent="0.5">
      <c r="B38" s="140" t="s">
        <v>517</v>
      </c>
      <c r="C38" s="128"/>
      <c r="D38" s="128"/>
      <c r="E38" s="128"/>
      <c r="F38" s="128"/>
      <c r="G38" s="128"/>
      <c r="H38" s="128"/>
      <c r="I38" s="128"/>
      <c r="J38" s="128"/>
      <c r="K38" s="128"/>
      <c r="L38" s="128"/>
      <c r="M38" s="129"/>
      <c r="O38" s="460"/>
      <c r="P38" s="146" t="s">
        <v>518</v>
      </c>
      <c r="Q38" s="160">
        <f>Q32/Q37</f>
        <v>8.4355000000000011</v>
      </c>
      <c r="R38" s="432"/>
      <c r="S38" s="149"/>
      <c r="T38" s="145"/>
      <c r="U38" s="145"/>
      <c r="V38" s="460"/>
      <c r="W38" s="146" t="s">
        <v>518</v>
      </c>
      <c r="X38" s="160">
        <f>X32/X37</f>
        <v>319.79341695561504</v>
      </c>
      <c r="Y38" s="432"/>
      <c r="Z38" s="149"/>
      <c r="AA38" s="145"/>
      <c r="AB38" s="461"/>
      <c r="AC38" s="146" t="s">
        <v>518</v>
      </c>
      <c r="AD38" s="441">
        <f>AD32/AD37</f>
        <v>83.849176086067502</v>
      </c>
      <c r="AE38" s="432"/>
      <c r="AG38" s="131"/>
    </row>
    <row r="39" spans="2:33" x14ac:dyDescent="0.4">
      <c r="B39" s="130"/>
      <c r="C39" s="17"/>
      <c r="M39" s="131"/>
      <c r="O39" s="460"/>
      <c r="S39" s="149"/>
      <c r="T39" s="145"/>
      <c r="U39" s="145"/>
      <c r="V39" s="145"/>
      <c r="W39" s="145"/>
      <c r="X39" s="145"/>
      <c r="Y39" s="145"/>
      <c r="Z39" s="145"/>
      <c r="AA39" s="145"/>
      <c r="AB39" s="130"/>
      <c r="AG39" s="131"/>
    </row>
    <row r="40" spans="2:33" x14ac:dyDescent="0.4">
      <c r="B40" s="458" t="s">
        <v>471</v>
      </c>
      <c r="C40" s="17"/>
      <c r="M40" s="131"/>
      <c r="O40" s="460"/>
      <c r="P40" s="435" t="s">
        <v>519</v>
      </c>
      <c r="Q40" s="433">
        <f>35100/26</f>
        <v>1350</v>
      </c>
      <c r="R40" s="433" t="s">
        <v>520</v>
      </c>
      <c r="S40" s="432"/>
      <c r="W40" s="433" t="s">
        <v>519</v>
      </c>
      <c r="X40" s="434">
        <f>450*X21*1.5</f>
        <v>71953.518815013391</v>
      </c>
      <c r="Y40" s="433" t="s">
        <v>521</v>
      </c>
      <c r="AB40" s="130"/>
      <c r="AC40" s="435" t="s">
        <v>519</v>
      </c>
      <c r="AD40" s="434">
        <f>450*AD21*1.5</f>
        <v>9433.0323096825923</v>
      </c>
      <c r="AE40" s="433" t="s">
        <v>522</v>
      </c>
      <c r="AG40" s="131"/>
    </row>
    <row r="41" spans="2:33" x14ac:dyDescent="0.4">
      <c r="B41" s="132"/>
      <c r="C41" s="17"/>
      <c r="M41" s="131"/>
      <c r="O41" s="156"/>
      <c r="P41" s="149"/>
      <c r="Q41" s="433">
        <f>Q40/3</f>
        <v>450</v>
      </c>
      <c r="R41" s="433" t="s">
        <v>523</v>
      </c>
      <c r="S41" s="432"/>
      <c r="W41" s="433"/>
      <c r="X41" s="434">
        <f>X40/3</f>
        <v>23984.506271671129</v>
      </c>
      <c r="Y41" s="433" t="s">
        <v>524</v>
      </c>
      <c r="AB41" s="130"/>
      <c r="AG41" s="131"/>
    </row>
    <row r="42" spans="2:33" x14ac:dyDescent="0.4">
      <c r="B42" s="132"/>
      <c r="C42" s="17"/>
      <c r="M42" s="131"/>
      <c r="O42" s="156"/>
      <c r="P42" s="149"/>
      <c r="Q42" s="432"/>
      <c r="R42" s="432"/>
      <c r="S42" s="432"/>
      <c r="AB42" s="130"/>
      <c r="AG42" s="131"/>
    </row>
    <row r="43" spans="2:33" x14ac:dyDescent="0.4">
      <c r="B43" s="132"/>
      <c r="C43" s="17"/>
      <c r="M43" s="131"/>
      <c r="O43" s="460"/>
      <c r="P43" s="149"/>
      <c r="Q43" s="432"/>
      <c r="R43" s="432"/>
      <c r="S43" s="432"/>
      <c r="AB43" s="130"/>
      <c r="AG43" s="131"/>
    </row>
    <row r="44" spans="2:33" x14ac:dyDescent="0.4">
      <c r="B44" s="133" t="s">
        <v>92</v>
      </c>
      <c r="C44" s="17"/>
      <c r="H44" s="787" t="s">
        <v>525</v>
      </c>
      <c r="I44" s="787"/>
      <c r="M44" s="131"/>
      <c r="O44" s="460"/>
      <c r="P44" s="432"/>
      <c r="Q44" s="432"/>
      <c r="R44" s="432"/>
      <c r="S44" s="432"/>
      <c r="AB44" s="130"/>
      <c r="AG44" s="131"/>
    </row>
    <row r="45" spans="2:33" x14ac:dyDescent="0.4">
      <c r="B45" s="134" t="s">
        <v>481</v>
      </c>
      <c r="C45" s="467" t="s">
        <v>489</v>
      </c>
      <c r="D45" s="467" t="s">
        <v>526</v>
      </c>
      <c r="E45" s="19" t="s">
        <v>484</v>
      </c>
      <c r="H45" s="467" t="s">
        <v>527</v>
      </c>
      <c r="I45" s="467" t="s">
        <v>528</v>
      </c>
      <c r="J45" s="467" t="s">
        <v>486</v>
      </c>
      <c r="M45" s="131"/>
      <c r="O45" s="157"/>
      <c r="P45" s="432"/>
      <c r="Q45" s="432"/>
      <c r="R45" s="432"/>
      <c r="S45" s="432"/>
      <c r="AB45" s="130"/>
      <c r="AG45" s="131"/>
    </row>
    <row r="46" spans="2:33" x14ac:dyDescent="0.4">
      <c r="B46" s="464" t="s">
        <v>529</v>
      </c>
      <c r="C46" s="121">
        <f>79*2</f>
        <v>158</v>
      </c>
      <c r="D46" s="121">
        <v>2500</v>
      </c>
      <c r="E46" s="122">
        <v>0.82</v>
      </c>
      <c r="H46" s="428">
        <f t="shared" ref="H46:H51" si="4">(C46*E46)/(0.000324*D46)</f>
        <v>159.95061728395061</v>
      </c>
      <c r="I46" s="141">
        <f>H46*14.7/34</f>
        <v>69.155119825708056</v>
      </c>
      <c r="J46" s="141">
        <f>C46*0.745</f>
        <v>117.71</v>
      </c>
      <c r="M46" s="131"/>
      <c r="O46" s="157"/>
      <c r="AB46" s="130"/>
      <c r="AG46" s="131"/>
    </row>
    <row r="47" spans="2:33" x14ac:dyDescent="0.4">
      <c r="B47" s="464" t="s">
        <v>530</v>
      </c>
      <c r="C47" s="119">
        <f>50*2</f>
        <v>100</v>
      </c>
      <c r="D47" s="121">
        <f>1200*2</f>
        <v>2400</v>
      </c>
      <c r="E47" s="122">
        <v>0.83</v>
      </c>
      <c r="H47" s="428">
        <f t="shared" si="4"/>
        <v>106.738683127572</v>
      </c>
      <c r="I47" s="141">
        <f t="shared" ref="I47:I51" si="5">H47*14.7/34</f>
        <v>46.148783587509065</v>
      </c>
      <c r="J47" s="141">
        <f t="shared" ref="J47:J51" si="6">C47*0.745</f>
        <v>74.5</v>
      </c>
      <c r="M47" s="131"/>
      <c r="O47" s="157"/>
      <c r="AB47" s="130"/>
      <c r="AG47" s="131"/>
    </row>
    <row r="48" spans="2:33" x14ac:dyDescent="0.4">
      <c r="B48" s="464" t="s">
        <v>531</v>
      </c>
      <c r="C48" s="119">
        <f>15*2</f>
        <v>30</v>
      </c>
      <c r="D48" s="121">
        <f>300*2</f>
        <v>600</v>
      </c>
      <c r="E48" s="122">
        <v>0.73</v>
      </c>
      <c r="H48" s="428">
        <f t="shared" si="4"/>
        <v>112.6543209876543</v>
      </c>
      <c r="I48" s="141">
        <f t="shared" si="5"/>
        <v>48.70642701525054</v>
      </c>
      <c r="J48" s="141">
        <f t="shared" si="6"/>
        <v>22.35</v>
      </c>
      <c r="M48" s="131"/>
      <c r="O48" s="157"/>
      <c r="AB48" s="130"/>
      <c r="AG48" s="131"/>
    </row>
    <row r="49" spans="2:33" x14ac:dyDescent="0.4">
      <c r="B49" s="135"/>
      <c r="C49" s="119"/>
      <c r="D49" s="121"/>
      <c r="E49" s="122"/>
      <c r="H49" s="123" t="e">
        <f t="shared" si="4"/>
        <v>#DIV/0!</v>
      </c>
      <c r="I49" s="141" t="e">
        <f t="shared" si="5"/>
        <v>#DIV/0!</v>
      </c>
      <c r="J49" s="141">
        <f t="shared" si="6"/>
        <v>0</v>
      </c>
      <c r="M49" s="131"/>
      <c r="O49" s="157"/>
      <c r="AB49" s="130"/>
      <c r="AG49" s="131"/>
    </row>
    <row r="50" spans="2:33" ht="15" thickBot="1" x14ac:dyDescent="0.45">
      <c r="B50" s="135"/>
      <c r="C50" s="119"/>
      <c r="D50" s="121"/>
      <c r="E50" s="122"/>
      <c r="H50" s="123" t="e">
        <f t="shared" si="4"/>
        <v>#DIV/0!</v>
      </c>
      <c r="I50" s="141" t="e">
        <f t="shared" si="5"/>
        <v>#DIV/0!</v>
      </c>
      <c r="J50" s="141">
        <f t="shared" si="6"/>
        <v>0</v>
      </c>
      <c r="M50" s="131"/>
      <c r="O50" s="158"/>
      <c r="P50" s="159"/>
      <c r="Q50" s="159"/>
      <c r="R50" s="159"/>
      <c r="S50" s="159"/>
      <c r="T50" s="159"/>
      <c r="U50" s="159"/>
      <c r="V50" s="159"/>
      <c r="W50" s="159"/>
      <c r="X50" s="159"/>
      <c r="Y50" s="159"/>
      <c r="Z50" s="159"/>
      <c r="AA50" s="159"/>
      <c r="AB50" s="137"/>
      <c r="AC50" s="138"/>
      <c r="AD50" s="138"/>
      <c r="AE50" s="138"/>
      <c r="AF50" s="138"/>
      <c r="AG50" s="139"/>
    </row>
    <row r="51" spans="2:33" x14ac:dyDescent="0.4">
      <c r="B51" s="135"/>
      <c r="C51" s="119"/>
      <c r="D51" s="121"/>
      <c r="E51" s="122"/>
      <c r="H51" s="123" t="e">
        <f t="shared" si="4"/>
        <v>#DIV/0!</v>
      </c>
      <c r="I51" s="141" t="e">
        <f t="shared" si="5"/>
        <v>#DIV/0!</v>
      </c>
      <c r="J51" s="141">
        <f t="shared" si="6"/>
        <v>0</v>
      </c>
      <c r="M51" s="131"/>
    </row>
    <row r="52" spans="2:33" x14ac:dyDescent="0.4">
      <c r="B52" s="132"/>
      <c r="C52" s="17"/>
      <c r="M52" s="131"/>
      <c r="O52" s="145"/>
      <c r="AB52" s="145"/>
      <c r="AC52" s="145"/>
      <c r="AD52" s="145"/>
      <c r="AE52" s="145"/>
      <c r="AF52" s="145"/>
    </row>
    <row r="53" spans="2:33" ht="15" thickBot="1" x14ac:dyDescent="0.45">
      <c r="B53" s="137"/>
      <c r="C53" s="138"/>
      <c r="D53" s="138"/>
      <c r="E53" s="138"/>
      <c r="F53" s="138"/>
      <c r="G53" s="138"/>
      <c r="H53" s="138"/>
      <c r="I53" s="138"/>
      <c r="J53" s="138"/>
      <c r="K53" s="138"/>
      <c r="L53" s="138"/>
      <c r="M53" s="139"/>
      <c r="O53" s="145"/>
      <c r="P53" s="145"/>
      <c r="Q53" s="145"/>
      <c r="R53" s="145"/>
      <c r="S53" s="145"/>
      <c r="T53" s="145"/>
      <c r="U53" s="145"/>
      <c r="V53" s="145"/>
      <c r="W53" s="145"/>
      <c r="X53" s="145"/>
      <c r="Y53" s="145"/>
      <c r="Z53" s="145"/>
      <c r="AA53" s="145"/>
      <c r="AB53" s="145"/>
      <c r="AC53" s="145"/>
      <c r="AD53" s="145"/>
      <c r="AE53" s="145"/>
      <c r="AF53" s="145"/>
    </row>
    <row r="54" spans="2:33" x14ac:dyDescent="0.4">
      <c r="P54" s="145"/>
      <c r="Q54" s="145"/>
      <c r="R54" s="145"/>
      <c r="S54" s="145"/>
      <c r="T54" s="145"/>
      <c r="U54" s="145"/>
      <c r="V54" s="145"/>
      <c r="W54" s="145"/>
      <c r="X54" s="145"/>
      <c r="Y54" s="145"/>
      <c r="Z54" s="145"/>
      <c r="AA54" s="145"/>
    </row>
  </sheetData>
  <mergeCells count="15">
    <mergeCell ref="G14:I14"/>
    <mergeCell ref="J14:L14"/>
    <mergeCell ref="AC17:AE17"/>
    <mergeCell ref="AC24:AE24"/>
    <mergeCell ref="AC31:AE31"/>
    <mergeCell ref="AC34:AE34"/>
    <mergeCell ref="H44:I44"/>
    <mergeCell ref="P24:R24"/>
    <mergeCell ref="P17:R17"/>
    <mergeCell ref="P31:R31"/>
    <mergeCell ref="P34:R34"/>
    <mergeCell ref="W17:Y17"/>
    <mergeCell ref="W24:Y24"/>
    <mergeCell ref="W31:Y31"/>
    <mergeCell ref="W34:Y34"/>
  </mergeCell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E7793-599E-4950-935E-6310FCA85660}">
  <sheetPr>
    <tabColor theme="1"/>
  </sheetPr>
  <dimension ref="B1:CE63"/>
  <sheetViews>
    <sheetView zoomScale="59" zoomScaleNormal="76" workbookViewId="0">
      <selection activeCell="U48" sqref="U48"/>
    </sheetView>
  </sheetViews>
  <sheetFormatPr defaultRowHeight="12.45" x14ac:dyDescent="0.3"/>
  <cols>
    <col min="1" max="1" width="4.3828125" customWidth="1"/>
    <col min="2" max="2" width="12.3828125" bestFit="1" customWidth="1"/>
    <col min="3" max="3" width="12.53515625" customWidth="1"/>
    <col min="4" max="4" width="10.3046875" customWidth="1"/>
    <col min="5" max="5" width="16.53515625" bestFit="1" customWidth="1"/>
    <col min="6" max="6" width="15.53515625" customWidth="1"/>
    <col min="7" max="7" width="17.84375" customWidth="1"/>
    <col min="8" max="8" width="12.84375" customWidth="1"/>
    <col min="9" max="10" width="8.3828125" bestFit="1" customWidth="1"/>
    <col min="11" max="11" width="11.69140625" bestFit="1" customWidth="1"/>
    <col min="12" max="12" width="7.3046875" customWidth="1"/>
    <col min="13" max="13" width="16.53515625" bestFit="1" customWidth="1"/>
    <col min="14" max="14" width="10.84375" bestFit="1" customWidth="1"/>
    <col min="15" max="15" width="10.53515625" bestFit="1" customWidth="1"/>
    <col min="16" max="16" width="9.3828125" hidden="1" customWidth="1"/>
    <col min="17" max="18" width="11.3828125" hidden="1" customWidth="1"/>
    <col min="19" max="19" width="8.84375" bestFit="1" customWidth="1"/>
    <col min="20" max="20" width="6" bestFit="1" customWidth="1"/>
    <col min="21" max="21" width="16.53515625" bestFit="1" customWidth="1"/>
    <col min="22" max="22" width="9.69140625" bestFit="1" customWidth="1"/>
    <col min="23" max="23" width="10.69140625" bestFit="1" customWidth="1"/>
    <col min="24" max="24" width="9.3828125" hidden="1" customWidth="1"/>
    <col min="25" max="26" width="11.3828125" hidden="1" customWidth="1"/>
    <col min="27" max="27" width="9.15234375" bestFit="1" customWidth="1"/>
    <col min="28" max="28" width="6.15234375" bestFit="1" customWidth="1"/>
    <col min="29" max="29" width="16.53515625" bestFit="1" customWidth="1"/>
    <col min="30" max="30" width="14.69140625" bestFit="1" customWidth="1"/>
    <col min="31" max="31" width="10.69140625" bestFit="1" customWidth="1"/>
    <col min="32" max="32" width="9.3828125" hidden="1" customWidth="1"/>
    <col min="33" max="34" width="11.3828125" hidden="1" customWidth="1"/>
    <col min="35" max="35" width="7.69140625" bestFit="1" customWidth="1"/>
    <col min="36" max="36" width="6.3046875" bestFit="1" customWidth="1"/>
    <col min="37" max="37" width="15.84375" customWidth="1"/>
    <col min="38" max="39" width="10.3828125" bestFit="1" customWidth="1"/>
    <col min="40" max="40" width="9" hidden="1" customWidth="1"/>
    <col min="41" max="42" width="10.53515625" hidden="1" customWidth="1"/>
    <col min="43" max="43" width="8.3046875" bestFit="1" customWidth="1"/>
    <col min="44" max="44" width="6.15234375" bestFit="1" customWidth="1"/>
    <col min="45" max="45" width="16.53515625" bestFit="1" customWidth="1"/>
    <col min="46" max="47" width="10.69140625" bestFit="1" customWidth="1"/>
    <col min="48" max="48" width="9.3828125" hidden="1" customWidth="1"/>
    <col min="49" max="49" width="11.3828125" hidden="1" customWidth="1"/>
    <col min="50" max="50" width="11" hidden="1" customWidth="1"/>
    <col min="51" max="51" width="12.15234375" bestFit="1" customWidth="1"/>
    <col min="52" max="52" width="6.15234375" bestFit="1" customWidth="1"/>
    <col min="53" max="53" width="16.53515625" bestFit="1" customWidth="1"/>
    <col min="54" max="55" width="10.3828125" bestFit="1" customWidth="1"/>
    <col min="56" max="56" width="9.3046875" hidden="1" customWidth="1"/>
    <col min="57" max="58" width="11.3046875" hidden="1" customWidth="1"/>
    <col min="59" max="59" width="9.84375" bestFit="1" customWidth="1"/>
    <col min="60" max="60" width="6.3828125" bestFit="1" customWidth="1"/>
    <col min="61" max="61" width="16.53515625" bestFit="1" customWidth="1"/>
    <col min="62" max="62" width="10.3828125" bestFit="1" customWidth="1"/>
    <col min="63" max="63" width="10.53515625" bestFit="1" customWidth="1"/>
    <col min="64" max="64" width="9.3046875" hidden="1" customWidth="1"/>
    <col min="65" max="66" width="11.3046875" hidden="1" customWidth="1"/>
    <col min="67" max="67" width="7.3828125" bestFit="1" customWidth="1"/>
    <col min="68" max="68" width="4.84375" bestFit="1" customWidth="1"/>
    <col min="69" max="69" width="16.53515625" bestFit="1" customWidth="1"/>
    <col min="70" max="70" width="10.15234375" bestFit="1" customWidth="1"/>
    <col min="71" max="71" width="10.53515625" bestFit="1" customWidth="1"/>
    <col min="72" max="72" width="9.3046875" hidden="1" customWidth="1"/>
    <col min="73" max="74" width="11.3046875" hidden="1" customWidth="1"/>
    <col min="75" max="75" width="8.3828125" bestFit="1" customWidth="1"/>
    <col min="76" max="76" width="5.3828125" bestFit="1" customWidth="1"/>
    <col min="77" max="77" width="16.53515625" bestFit="1" customWidth="1"/>
    <col min="78" max="78" width="8.84375" bestFit="1" customWidth="1"/>
    <col min="79" max="79" width="10.53515625" bestFit="1" customWidth="1"/>
    <col min="80" max="80" width="9.3046875" hidden="1" customWidth="1"/>
    <col min="81" max="82" width="11.3046875" hidden="1" customWidth="1"/>
    <col min="83" max="83" width="7.3828125" bestFit="1" customWidth="1"/>
    <col min="84" max="84" width="2.84375" bestFit="1" customWidth="1"/>
  </cols>
  <sheetData>
    <row r="1" spans="5:83" x14ac:dyDescent="0.3">
      <c r="M1" s="1"/>
      <c r="AK1" s="1"/>
    </row>
    <row r="2" spans="5:83" ht="12.9" thickBot="1" x14ac:dyDescent="0.35">
      <c r="E2" s="97" t="s">
        <v>88</v>
      </c>
      <c r="F2" s="96"/>
      <c r="G2" s="96"/>
      <c r="M2" s="79" t="str">
        <f>C23</f>
        <v>262 Homes - Existing</v>
      </c>
      <c r="N2" s="1"/>
      <c r="O2" s="1"/>
      <c r="P2" s="1"/>
      <c r="Q2" s="1"/>
      <c r="R2" s="1"/>
      <c r="S2" s="1"/>
      <c r="U2" s="45" t="str">
        <f>D23</f>
        <v>262 Homes - Geo</v>
      </c>
      <c r="AC2" s="45" t="str">
        <f>E23</f>
        <v>Community Center - Existing</v>
      </c>
      <c r="AK2" s="45" t="str">
        <f>F23</f>
        <v>Community Center - Geo</v>
      </c>
      <c r="AL2" s="1"/>
      <c r="AM2" s="1"/>
      <c r="AN2" s="1"/>
      <c r="AO2" s="1"/>
      <c r="AP2" s="1"/>
      <c r="AQ2" s="1"/>
      <c r="AS2" s="45" t="str">
        <f>G23</f>
        <v>Bryant Elementary - Existing</v>
      </c>
      <c r="BA2" s="45" t="str">
        <f>H23</f>
        <v>Bryant Elementary - Geo</v>
      </c>
      <c r="BI2" s="186" t="str">
        <f>I23</f>
        <v>County Health - Existing</v>
      </c>
      <c r="BQ2" s="186" t="str">
        <f>J23</f>
        <v>County Health - Geo</v>
      </c>
      <c r="BY2" s="186" t="str">
        <f>K23</f>
        <v>Wheeler Center - Geo</v>
      </c>
    </row>
    <row r="3" spans="5:83" ht="37.75" thickBot="1" x14ac:dyDescent="0.35">
      <c r="E3" s="64" t="s">
        <v>89</v>
      </c>
      <c r="F3" s="64" t="s">
        <v>90</v>
      </c>
      <c r="G3" s="64" t="s">
        <v>91</v>
      </c>
      <c r="H3" s="64" t="s">
        <v>92</v>
      </c>
      <c r="I3" s="64" t="s">
        <v>93</v>
      </c>
      <c r="J3" s="64" t="s">
        <v>94</v>
      </c>
      <c r="K3" s="64" t="s">
        <v>95</v>
      </c>
      <c r="L3" s="22"/>
      <c r="M3" s="38"/>
      <c r="N3" s="40" t="s">
        <v>287</v>
      </c>
      <c r="O3" s="40" t="s">
        <v>288</v>
      </c>
      <c r="P3" s="40" t="s">
        <v>289</v>
      </c>
      <c r="Q3" s="40" t="s">
        <v>290</v>
      </c>
      <c r="R3" s="40" t="s">
        <v>291</v>
      </c>
      <c r="S3" s="40" t="s">
        <v>292</v>
      </c>
      <c r="U3" s="38"/>
      <c r="V3" s="40" t="s">
        <v>287</v>
      </c>
      <c r="W3" s="40" t="s">
        <v>288</v>
      </c>
      <c r="X3" s="40" t="s">
        <v>289</v>
      </c>
      <c r="Y3" s="40" t="s">
        <v>290</v>
      </c>
      <c r="Z3" s="40" t="s">
        <v>291</v>
      </c>
      <c r="AA3" s="40" t="s">
        <v>292</v>
      </c>
      <c r="AC3" s="38"/>
      <c r="AD3" s="40" t="s">
        <v>287</v>
      </c>
      <c r="AE3" s="40" t="s">
        <v>288</v>
      </c>
      <c r="AF3" s="40" t="s">
        <v>289</v>
      </c>
      <c r="AG3" s="40" t="s">
        <v>290</v>
      </c>
      <c r="AH3" s="40" t="s">
        <v>291</v>
      </c>
      <c r="AI3" s="40" t="s">
        <v>292</v>
      </c>
      <c r="AK3" s="38"/>
      <c r="AL3" s="40" t="s">
        <v>287</v>
      </c>
      <c r="AM3" s="40" t="s">
        <v>288</v>
      </c>
      <c r="AN3" s="40" t="s">
        <v>289</v>
      </c>
      <c r="AO3" s="40" t="s">
        <v>290</v>
      </c>
      <c r="AP3" s="40" t="s">
        <v>291</v>
      </c>
      <c r="AQ3" s="40" t="s">
        <v>292</v>
      </c>
      <c r="AS3" s="38"/>
      <c r="AT3" s="40" t="s">
        <v>287</v>
      </c>
      <c r="AU3" s="40" t="s">
        <v>288</v>
      </c>
      <c r="AV3" s="40" t="s">
        <v>289</v>
      </c>
      <c r="AW3" s="40" t="s">
        <v>290</v>
      </c>
      <c r="AX3" s="40" t="s">
        <v>291</v>
      </c>
      <c r="AY3" s="40" t="s">
        <v>292</v>
      </c>
      <c r="BA3" s="38"/>
      <c r="BB3" s="40" t="s">
        <v>287</v>
      </c>
      <c r="BC3" s="40" t="s">
        <v>288</v>
      </c>
      <c r="BD3" s="40" t="s">
        <v>289</v>
      </c>
      <c r="BE3" s="40" t="s">
        <v>290</v>
      </c>
      <c r="BF3" s="40" t="s">
        <v>291</v>
      </c>
      <c r="BG3" s="40" t="s">
        <v>292</v>
      </c>
      <c r="BI3" s="38"/>
      <c r="BJ3" s="40" t="s">
        <v>287</v>
      </c>
      <c r="BK3" s="40" t="s">
        <v>288</v>
      </c>
      <c r="BL3" s="40" t="s">
        <v>289</v>
      </c>
      <c r="BM3" s="40" t="s">
        <v>290</v>
      </c>
      <c r="BN3" s="40" t="s">
        <v>291</v>
      </c>
      <c r="BO3" s="190" t="s">
        <v>292</v>
      </c>
      <c r="BQ3" s="38"/>
      <c r="BR3" s="40" t="s">
        <v>287</v>
      </c>
      <c r="BS3" s="40" t="s">
        <v>288</v>
      </c>
      <c r="BT3" s="40" t="s">
        <v>289</v>
      </c>
      <c r="BU3" s="40" t="s">
        <v>290</v>
      </c>
      <c r="BV3" s="40" t="s">
        <v>291</v>
      </c>
      <c r="BW3" s="40" t="s">
        <v>292</v>
      </c>
      <c r="BX3" s="40"/>
      <c r="BY3" s="38"/>
      <c r="BZ3" s="40" t="s">
        <v>287</v>
      </c>
      <c r="CA3" s="40" t="s">
        <v>288</v>
      </c>
      <c r="CB3" s="40" t="s">
        <v>289</v>
      </c>
      <c r="CC3" s="40" t="s">
        <v>290</v>
      </c>
      <c r="CD3" s="40" t="s">
        <v>291</v>
      </c>
      <c r="CE3" s="40" t="s">
        <v>292</v>
      </c>
    </row>
    <row r="4" spans="5:83" ht="12.9" thickBot="1" x14ac:dyDescent="0.35">
      <c r="E4" s="3"/>
      <c r="F4" s="3" t="s">
        <v>101</v>
      </c>
      <c r="G4" s="3"/>
      <c r="H4" s="3"/>
      <c r="I4" s="3"/>
      <c r="J4" s="3"/>
      <c r="K4" s="3"/>
      <c r="L4" s="1"/>
      <c r="M4" s="162" t="s">
        <v>90</v>
      </c>
      <c r="N4" s="162">
        <v>0</v>
      </c>
      <c r="O4" s="162">
        <v>342634.12</v>
      </c>
      <c r="P4" s="41"/>
      <c r="Q4" s="41"/>
      <c r="R4" s="41"/>
      <c r="S4" s="41"/>
      <c r="U4" s="162" t="s">
        <v>90</v>
      </c>
      <c r="V4" s="162">
        <v>0</v>
      </c>
      <c r="W4" s="162">
        <v>1071438.26</v>
      </c>
      <c r="X4" s="41"/>
      <c r="Y4" s="41"/>
      <c r="Z4" s="41"/>
      <c r="AA4" s="41"/>
      <c r="AC4" s="162" t="s">
        <v>90</v>
      </c>
      <c r="AD4" s="162">
        <v>76.22</v>
      </c>
      <c r="AE4" s="162">
        <v>1602396.36</v>
      </c>
      <c r="AF4" s="41"/>
      <c r="AG4" s="41"/>
      <c r="AH4" s="41"/>
      <c r="AI4" s="41"/>
      <c r="AK4" s="162" t="s">
        <v>90</v>
      </c>
      <c r="AL4" s="162">
        <v>29.54</v>
      </c>
      <c r="AM4" s="162">
        <v>1422313.73</v>
      </c>
      <c r="AN4" s="41"/>
      <c r="AO4" s="41"/>
      <c r="AP4" s="41"/>
      <c r="AQ4" s="41"/>
      <c r="AS4" s="162" t="s">
        <v>90</v>
      </c>
      <c r="AT4" s="162">
        <v>0</v>
      </c>
      <c r="AU4" s="162">
        <v>3006009.4</v>
      </c>
      <c r="AV4" s="41"/>
      <c r="AW4" s="41"/>
      <c r="AX4" s="41"/>
      <c r="AY4" s="41"/>
      <c r="BA4" s="162" t="s">
        <v>90</v>
      </c>
      <c r="BB4" s="162">
        <v>0</v>
      </c>
      <c r="BC4" s="162">
        <v>1986034.87</v>
      </c>
      <c r="BD4" s="41"/>
      <c r="BE4" s="41"/>
      <c r="BF4" s="41"/>
      <c r="BG4" s="41"/>
      <c r="BI4" s="162"/>
      <c r="BJ4" s="162"/>
      <c r="BK4" s="162"/>
      <c r="BL4" s="41"/>
      <c r="BM4" s="41"/>
      <c r="BN4" s="41"/>
      <c r="BO4" s="41"/>
      <c r="BQ4" s="162"/>
      <c r="BR4" s="162"/>
      <c r="BS4" s="162"/>
      <c r="BT4" s="41"/>
      <c r="BU4" s="41"/>
      <c r="BV4" s="41"/>
      <c r="BW4" s="41"/>
      <c r="BY4" s="162"/>
      <c r="BZ4" s="162"/>
      <c r="CA4" s="162"/>
      <c r="CB4" s="41"/>
      <c r="CC4" s="41"/>
      <c r="CD4" s="41"/>
      <c r="CE4" s="41"/>
    </row>
    <row r="5" spans="5:83" ht="12.9" thickBot="1" x14ac:dyDescent="0.35">
      <c r="E5" s="3"/>
      <c r="F5" s="3"/>
      <c r="G5" s="3" t="s">
        <v>101</v>
      </c>
      <c r="H5" s="3"/>
      <c r="I5" s="3"/>
      <c r="J5" s="3"/>
      <c r="K5" s="3"/>
      <c r="L5" s="1"/>
      <c r="M5" s="162" t="s">
        <v>91</v>
      </c>
      <c r="N5" s="162">
        <v>48024.42</v>
      </c>
      <c r="O5" s="162">
        <v>0</v>
      </c>
      <c r="P5" s="41"/>
      <c r="Q5" s="41"/>
      <c r="R5" s="41"/>
      <c r="S5" s="41"/>
      <c r="U5" s="162" t="s">
        <v>91</v>
      </c>
      <c r="V5" s="162">
        <v>148851.68</v>
      </c>
      <c r="W5" s="162">
        <v>0</v>
      </c>
      <c r="X5" s="41"/>
      <c r="Y5" s="41"/>
      <c r="Z5" s="41"/>
      <c r="AA5" s="41"/>
      <c r="AC5" s="162" t="s">
        <v>91</v>
      </c>
      <c r="AD5" s="162">
        <v>276345.86</v>
      </c>
      <c r="AE5" s="162">
        <v>0</v>
      </c>
      <c r="AF5" s="41"/>
      <c r="AG5" s="41"/>
      <c r="AH5" s="41"/>
      <c r="AI5" s="41"/>
      <c r="AK5" s="162" t="s">
        <v>91</v>
      </c>
      <c r="AL5" s="162">
        <v>103768.01</v>
      </c>
      <c r="AM5" s="162">
        <v>0</v>
      </c>
      <c r="AN5" s="41"/>
      <c r="AO5" s="41"/>
      <c r="AP5" s="41"/>
      <c r="AQ5" s="41"/>
      <c r="AS5" s="162" t="s">
        <v>91</v>
      </c>
      <c r="AT5" s="162">
        <v>0</v>
      </c>
      <c r="AU5" s="162">
        <v>0</v>
      </c>
      <c r="AV5" s="41"/>
      <c r="AW5" s="41"/>
      <c r="AX5" s="41"/>
      <c r="AY5" s="41"/>
      <c r="BA5" s="162" t="s">
        <v>91</v>
      </c>
      <c r="BB5" s="162">
        <v>317909.03000000003</v>
      </c>
      <c r="BC5" s="162">
        <v>0</v>
      </c>
      <c r="BD5" s="41"/>
      <c r="BE5" s="41"/>
      <c r="BF5" s="41"/>
      <c r="BG5" s="41"/>
      <c r="BI5" s="162"/>
      <c r="BJ5" s="162"/>
      <c r="BK5" s="162"/>
      <c r="BL5" s="41"/>
      <c r="BM5" s="41"/>
      <c r="BN5" s="41"/>
      <c r="BO5" s="41"/>
      <c r="BQ5" s="162"/>
      <c r="BR5" s="162"/>
      <c r="BS5" s="162"/>
      <c r="BT5" s="41"/>
      <c r="BU5" s="41"/>
      <c r="BV5" s="41"/>
      <c r="BW5" s="41"/>
      <c r="BY5" s="162"/>
      <c r="BZ5" s="162"/>
      <c r="CA5" s="162"/>
      <c r="CB5" s="41"/>
      <c r="CC5" s="41"/>
      <c r="CD5" s="41"/>
      <c r="CE5" s="41"/>
    </row>
    <row r="6" spans="5:83" ht="12.9" thickBot="1" x14ac:dyDescent="0.35">
      <c r="E6" s="3" t="s">
        <v>101</v>
      </c>
      <c r="F6" s="3"/>
      <c r="G6" s="3"/>
      <c r="H6" s="3"/>
      <c r="I6" s="3"/>
      <c r="J6" s="3"/>
      <c r="K6" s="3"/>
      <c r="L6" s="1"/>
      <c r="M6" s="162" t="s">
        <v>108</v>
      </c>
      <c r="N6" s="162">
        <v>37174</v>
      </c>
      <c r="O6" s="162">
        <v>0</v>
      </c>
      <c r="P6" s="41"/>
      <c r="Q6" s="41"/>
      <c r="R6" s="41"/>
      <c r="S6" s="41"/>
      <c r="U6" s="162" t="s">
        <v>108</v>
      </c>
      <c r="V6" s="162">
        <v>233706.23999999999</v>
      </c>
      <c r="W6" s="162">
        <v>0</v>
      </c>
      <c r="X6" s="41"/>
      <c r="Y6" s="41"/>
      <c r="Z6" s="41"/>
      <c r="AA6" s="41"/>
      <c r="AC6" s="162" t="s">
        <v>108</v>
      </c>
      <c r="AD6" s="162">
        <v>240811.81</v>
      </c>
      <c r="AE6" s="162">
        <v>0</v>
      </c>
      <c r="AF6" s="41"/>
      <c r="AG6" s="41"/>
      <c r="AH6" s="41"/>
      <c r="AI6" s="41"/>
      <c r="AK6" s="162" t="s">
        <v>108</v>
      </c>
      <c r="AL6" s="162">
        <v>251312.67</v>
      </c>
      <c r="AM6" s="162">
        <v>0</v>
      </c>
      <c r="AN6" s="41"/>
      <c r="AO6" s="41"/>
      <c r="AP6" s="41"/>
      <c r="AQ6" s="41"/>
      <c r="AS6" s="162" t="s">
        <v>108</v>
      </c>
      <c r="AT6" s="162">
        <v>398206.7</v>
      </c>
      <c r="AU6" s="162">
        <v>0</v>
      </c>
      <c r="AV6" s="41"/>
      <c r="AW6" s="41"/>
      <c r="AX6" s="41"/>
      <c r="AY6" s="41"/>
      <c r="BA6" s="162" t="s">
        <v>108</v>
      </c>
      <c r="BB6" s="162">
        <v>485362.19</v>
      </c>
      <c r="BC6" s="162">
        <v>0</v>
      </c>
      <c r="BD6" s="41"/>
      <c r="BE6" s="41"/>
      <c r="BF6" s="41"/>
      <c r="BG6" s="41"/>
      <c r="BI6" s="162"/>
      <c r="BJ6" s="162"/>
      <c r="BK6" s="162"/>
      <c r="BL6" s="41"/>
      <c r="BM6" s="41"/>
      <c r="BN6" s="41"/>
      <c r="BO6" s="41"/>
      <c r="BQ6" s="162"/>
      <c r="BR6" s="162"/>
      <c r="BS6" s="162"/>
      <c r="BT6" s="41"/>
      <c r="BU6" s="41"/>
      <c r="BV6" s="41"/>
      <c r="BW6" s="41"/>
      <c r="BY6" s="162"/>
      <c r="BZ6" s="162"/>
      <c r="CA6" s="162"/>
      <c r="CB6" s="41"/>
      <c r="CC6" s="41"/>
      <c r="CD6" s="41"/>
      <c r="CE6" s="41"/>
    </row>
    <row r="7" spans="5:83" ht="12.9" thickBot="1" x14ac:dyDescent="0.35">
      <c r="E7" s="3" t="s">
        <v>101</v>
      </c>
      <c r="F7" s="3"/>
      <c r="G7" s="3"/>
      <c r="H7" s="3"/>
      <c r="I7" s="3"/>
      <c r="J7" s="3"/>
      <c r="K7" s="3"/>
      <c r="L7" s="1"/>
      <c r="M7" s="162" t="s">
        <v>109</v>
      </c>
      <c r="N7" s="162">
        <v>0</v>
      </c>
      <c r="O7" s="162">
        <v>0</v>
      </c>
      <c r="P7" s="41"/>
      <c r="Q7" s="41"/>
      <c r="R7" s="41"/>
      <c r="S7" s="41"/>
      <c r="U7" s="162" t="s">
        <v>109</v>
      </c>
      <c r="V7" s="162">
        <v>0</v>
      </c>
      <c r="W7" s="162">
        <v>0</v>
      </c>
      <c r="X7" s="41"/>
      <c r="Y7" s="41"/>
      <c r="Z7" s="41"/>
      <c r="AA7" s="41"/>
      <c r="AC7" s="162" t="s">
        <v>109</v>
      </c>
      <c r="AD7" s="162">
        <v>0</v>
      </c>
      <c r="AE7" s="162">
        <v>0</v>
      </c>
      <c r="AF7" s="41"/>
      <c r="AG7" s="41"/>
      <c r="AH7" s="41"/>
      <c r="AI7" s="41"/>
      <c r="AK7" s="162" t="s">
        <v>109</v>
      </c>
      <c r="AL7" s="162">
        <v>0</v>
      </c>
      <c r="AM7" s="162">
        <v>0</v>
      </c>
      <c r="AN7" s="41"/>
      <c r="AO7" s="41"/>
      <c r="AP7" s="41"/>
      <c r="AQ7" s="41"/>
      <c r="AS7" s="162" t="s">
        <v>109</v>
      </c>
      <c r="AT7" s="162">
        <v>0</v>
      </c>
      <c r="AU7" s="162">
        <v>0</v>
      </c>
      <c r="AV7" s="41"/>
      <c r="AW7" s="41"/>
      <c r="AX7" s="41"/>
      <c r="AY7" s="41"/>
      <c r="BA7" s="162" t="s">
        <v>109</v>
      </c>
      <c r="BB7" s="162">
        <v>0</v>
      </c>
      <c r="BC7" s="162">
        <v>0</v>
      </c>
      <c r="BD7" s="41"/>
      <c r="BE7" s="41"/>
      <c r="BF7" s="41"/>
      <c r="BG7" s="41"/>
      <c r="BI7" s="162"/>
      <c r="BJ7" s="162"/>
      <c r="BK7" s="162"/>
      <c r="BL7" s="41"/>
      <c r="BM7" s="41"/>
      <c r="BN7" s="41"/>
      <c r="BO7" s="41"/>
      <c r="BQ7" s="162"/>
      <c r="BR7" s="162"/>
      <c r="BS7" s="162"/>
      <c r="BT7" s="41"/>
      <c r="BU7" s="41"/>
      <c r="BV7" s="41"/>
      <c r="BW7" s="41"/>
      <c r="BY7" s="162"/>
      <c r="BZ7" s="162"/>
      <c r="CA7" s="162"/>
      <c r="CB7" s="41"/>
      <c r="CC7" s="41"/>
      <c r="CD7" s="41"/>
      <c r="CE7" s="41"/>
    </row>
    <row r="8" spans="5:83" ht="14.7" customHeight="1" thickBot="1" x14ac:dyDescent="0.35">
      <c r="E8" s="3"/>
      <c r="F8" s="3"/>
      <c r="G8" s="3"/>
      <c r="H8" s="3"/>
      <c r="I8" s="3"/>
      <c r="J8" s="3" t="s">
        <v>101</v>
      </c>
      <c r="K8" s="3"/>
      <c r="L8" s="1"/>
      <c r="M8" s="162" t="s">
        <v>110</v>
      </c>
      <c r="N8" s="162">
        <v>40791.83</v>
      </c>
      <c r="O8" s="162">
        <v>0</v>
      </c>
      <c r="P8" s="41"/>
      <c r="Q8" s="41"/>
      <c r="R8" s="41"/>
      <c r="S8" s="41"/>
      <c r="U8" s="162" t="s">
        <v>110</v>
      </c>
      <c r="V8" s="162">
        <v>318687.37</v>
      </c>
      <c r="W8" s="162">
        <v>0</v>
      </c>
      <c r="X8" s="41"/>
      <c r="Y8" s="41"/>
      <c r="Z8" s="41"/>
      <c r="AA8" s="41"/>
      <c r="AC8" s="162" t="s">
        <v>110</v>
      </c>
      <c r="AD8" s="162">
        <v>466123.76</v>
      </c>
      <c r="AE8" s="162">
        <v>0</v>
      </c>
      <c r="AF8" s="41"/>
      <c r="AG8" s="41"/>
      <c r="AH8" s="41"/>
      <c r="AI8" s="41"/>
      <c r="AK8" s="162" t="s">
        <v>110</v>
      </c>
      <c r="AL8" s="162">
        <v>486449.59</v>
      </c>
      <c r="AM8" s="162">
        <v>0</v>
      </c>
      <c r="AN8" s="41"/>
      <c r="AO8" s="41"/>
      <c r="AP8" s="41"/>
      <c r="AQ8" s="41"/>
      <c r="AS8" s="162" t="s">
        <v>110</v>
      </c>
      <c r="AT8" s="162">
        <v>770782.8</v>
      </c>
      <c r="AU8" s="162">
        <v>0</v>
      </c>
      <c r="AV8" s="41"/>
      <c r="AW8" s="41"/>
      <c r="AX8" s="41"/>
      <c r="AY8" s="41"/>
      <c r="BA8" s="162" t="s">
        <v>110</v>
      </c>
      <c r="BB8" s="162">
        <v>328427.45</v>
      </c>
      <c r="BC8" s="162">
        <v>0</v>
      </c>
      <c r="BD8" s="41"/>
      <c r="BE8" s="41"/>
      <c r="BF8" s="41"/>
      <c r="BG8" s="41"/>
      <c r="BI8" s="162"/>
      <c r="BJ8" s="162"/>
      <c r="BK8" s="162"/>
      <c r="BL8" s="41"/>
      <c r="BM8" s="41"/>
      <c r="BN8" s="41"/>
      <c r="BO8" s="41"/>
      <c r="BQ8" s="162"/>
      <c r="BR8" s="162"/>
      <c r="BS8" s="162"/>
      <c r="BT8" s="41"/>
      <c r="BU8" s="41"/>
      <c r="BV8" s="41"/>
      <c r="BW8" s="41"/>
      <c r="BY8" s="162"/>
      <c r="BZ8" s="162"/>
      <c r="CA8" s="162"/>
      <c r="CB8" s="41"/>
      <c r="CC8" s="41"/>
      <c r="CD8" s="41"/>
      <c r="CE8" s="41"/>
    </row>
    <row r="9" spans="5:83" ht="25.4" customHeight="1" thickBot="1" x14ac:dyDescent="0.35">
      <c r="E9" s="3"/>
      <c r="F9" s="3"/>
      <c r="G9" s="3"/>
      <c r="H9" s="3"/>
      <c r="I9" s="3"/>
      <c r="J9" s="3" t="s">
        <v>101</v>
      </c>
      <c r="K9" s="3"/>
      <c r="L9" s="1"/>
      <c r="M9" s="162" t="s">
        <v>111</v>
      </c>
      <c r="N9" s="162">
        <v>0</v>
      </c>
      <c r="O9" s="162">
        <v>0</v>
      </c>
      <c r="P9" s="41"/>
      <c r="Q9" s="41"/>
      <c r="R9" s="41"/>
      <c r="S9" s="41"/>
      <c r="U9" s="162" t="s">
        <v>111</v>
      </c>
      <c r="V9" s="162">
        <v>0</v>
      </c>
      <c r="W9" s="162">
        <v>0</v>
      </c>
      <c r="X9" s="41"/>
      <c r="Y9" s="41"/>
      <c r="Z9" s="41"/>
      <c r="AA9" s="41"/>
      <c r="AC9" s="162" t="s">
        <v>111</v>
      </c>
      <c r="AD9" s="162">
        <v>0</v>
      </c>
      <c r="AE9" s="162">
        <v>0</v>
      </c>
      <c r="AF9" s="41"/>
      <c r="AG9" s="41"/>
      <c r="AH9" s="41"/>
      <c r="AI9" s="41"/>
      <c r="AK9" s="162" t="s">
        <v>111</v>
      </c>
      <c r="AL9" s="162">
        <v>0</v>
      </c>
      <c r="AM9" s="162">
        <v>0</v>
      </c>
      <c r="AN9" s="41"/>
      <c r="AO9" s="41"/>
      <c r="AP9" s="41"/>
      <c r="AQ9" s="41"/>
      <c r="AS9" s="162" t="s">
        <v>111</v>
      </c>
      <c r="AT9" s="162">
        <v>0</v>
      </c>
      <c r="AU9" s="162">
        <v>0</v>
      </c>
      <c r="AV9" s="41"/>
      <c r="AW9" s="41"/>
      <c r="AX9" s="41"/>
      <c r="AY9" s="41"/>
      <c r="BA9" s="162" t="s">
        <v>111</v>
      </c>
      <c r="BB9" s="162">
        <v>0</v>
      </c>
      <c r="BC9" s="162">
        <v>0</v>
      </c>
      <c r="BD9" s="41"/>
      <c r="BE9" s="41"/>
      <c r="BF9" s="41"/>
      <c r="BG9" s="41"/>
      <c r="BI9" s="162"/>
      <c r="BJ9" s="162"/>
      <c r="BK9" s="162"/>
      <c r="BL9" s="41"/>
      <c r="BM9" s="41"/>
      <c r="BN9" s="41"/>
      <c r="BO9" s="41"/>
      <c r="BQ9" s="162"/>
      <c r="BR9" s="162"/>
      <c r="BS9" s="162"/>
      <c r="BT9" s="41"/>
      <c r="BU9" s="41"/>
      <c r="BV9" s="41"/>
      <c r="BW9" s="41"/>
      <c r="BY9" s="162"/>
      <c r="BZ9" s="162"/>
      <c r="CA9" s="162"/>
      <c r="CB9" s="41"/>
      <c r="CC9" s="41"/>
      <c r="CD9" s="41"/>
      <c r="CE9" s="41"/>
    </row>
    <row r="10" spans="5:83" ht="12.9" thickBot="1" x14ac:dyDescent="0.35">
      <c r="E10" s="3"/>
      <c r="F10" s="3"/>
      <c r="G10" s="3"/>
      <c r="H10" s="3"/>
      <c r="I10" s="3" t="s">
        <v>101</v>
      </c>
      <c r="J10" s="3"/>
      <c r="K10" s="3"/>
      <c r="L10" s="1"/>
      <c r="M10" s="162" t="s">
        <v>102</v>
      </c>
      <c r="N10" s="162">
        <v>37858.53</v>
      </c>
      <c r="O10" s="162">
        <v>0</v>
      </c>
      <c r="P10" s="41"/>
      <c r="Q10" s="41"/>
      <c r="R10" s="41"/>
      <c r="S10" s="41"/>
      <c r="U10" s="162" t="s">
        <v>102</v>
      </c>
      <c r="V10" s="162">
        <v>95328.42</v>
      </c>
      <c r="W10" s="162">
        <v>0</v>
      </c>
      <c r="X10" s="41"/>
      <c r="Y10" s="41"/>
      <c r="Z10" s="41"/>
      <c r="AA10" s="41"/>
      <c r="AC10" s="162" t="s">
        <v>102</v>
      </c>
      <c r="AD10" s="162">
        <v>364514.09</v>
      </c>
      <c r="AE10" s="162">
        <v>0</v>
      </c>
      <c r="AF10" s="41"/>
      <c r="AG10" s="41"/>
      <c r="AH10" s="41"/>
      <c r="AI10" s="41"/>
      <c r="AK10" s="162" t="s">
        <v>102</v>
      </c>
      <c r="AL10" s="162">
        <v>822812.68</v>
      </c>
      <c r="AM10" s="162">
        <v>0</v>
      </c>
      <c r="AN10" s="41"/>
      <c r="AO10" s="41"/>
      <c r="AP10" s="41"/>
      <c r="AQ10" s="41"/>
      <c r="AS10" s="162" t="s">
        <v>102</v>
      </c>
      <c r="AT10" s="162">
        <v>1149814.3400000001</v>
      </c>
      <c r="AU10" s="162">
        <v>0</v>
      </c>
      <c r="AV10" s="41"/>
      <c r="AW10" s="41"/>
      <c r="AX10" s="41"/>
      <c r="AY10" s="41"/>
      <c r="BA10" s="162" t="s">
        <v>102</v>
      </c>
      <c r="BB10" s="162">
        <v>197576.56</v>
      </c>
      <c r="BC10" s="162">
        <v>0</v>
      </c>
      <c r="BD10" s="41"/>
      <c r="BE10" s="41"/>
      <c r="BF10" s="41"/>
      <c r="BG10" s="41"/>
      <c r="BI10" s="162"/>
      <c r="BJ10" s="162"/>
      <c r="BK10" s="162"/>
      <c r="BL10" s="41"/>
      <c r="BM10" s="41"/>
      <c r="BN10" s="41"/>
      <c r="BO10" s="41"/>
      <c r="BQ10" s="162"/>
      <c r="BR10" s="162"/>
      <c r="BS10" s="162"/>
      <c r="BT10" s="41"/>
      <c r="BU10" s="41"/>
      <c r="BV10" s="41"/>
      <c r="BW10" s="41"/>
      <c r="BY10" s="162"/>
      <c r="BZ10" s="162"/>
      <c r="CA10" s="162"/>
      <c r="CB10" s="41"/>
      <c r="CC10" s="41"/>
      <c r="CD10" s="41"/>
      <c r="CE10" s="41"/>
    </row>
    <row r="11" spans="5:83" ht="12.9" thickBot="1" x14ac:dyDescent="0.35">
      <c r="E11" s="3"/>
      <c r="F11" s="3"/>
      <c r="G11" s="3"/>
      <c r="H11" s="3" t="s">
        <v>101</v>
      </c>
      <c r="I11" s="3"/>
      <c r="J11" s="3"/>
      <c r="K11" s="3"/>
      <c r="L11" s="1"/>
      <c r="M11" s="162" t="s">
        <v>103</v>
      </c>
      <c r="N11" s="162">
        <v>1.56</v>
      </c>
      <c r="O11" s="162">
        <v>0</v>
      </c>
      <c r="P11" s="41"/>
      <c r="Q11" s="41"/>
      <c r="R11" s="41"/>
      <c r="S11" s="41"/>
      <c r="U11" s="162" t="s">
        <v>103</v>
      </c>
      <c r="V11" s="162">
        <v>23.25</v>
      </c>
      <c r="W11" s="162">
        <v>0</v>
      </c>
      <c r="X11" s="41"/>
      <c r="Y11" s="41"/>
      <c r="Z11" s="41"/>
      <c r="AA11" s="41"/>
      <c r="AC11" s="162" t="s">
        <v>103</v>
      </c>
      <c r="AD11" s="162">
        <v>329.07</v>
      </c>
      <c r="AE11" s="162">
        <v>0</v>
      </c>
      <c r="AF11" s="41"/>
      <c r="AG11" s="41"/>
      <c r="AH11" s="41"/>
      <c r="AI11" s="41"/>
      <c r="AK11" s="162" t="s">
        <v>103</v>
      </c>
      <c r="AL11" s="162">
        <v>216.68</v>
      </c>
      <c r="AM11" s="162">
        <v>0</v>
      </c>
      <c r="AN11" s="41"/>
      <c r="AO11" s="41"/>
      <c r="AP11" s="41"/>
      <c r="AQ11" s="41"/>
      <c r="AS11" s="162" t="s">
        <v>103</v>
      </c>
      <c r="AT11" s="162">
        <v>40.47</v>
      </c>
      <c r="AU11" s="162">
        <v>0</v>
      </c>
      <c r="AV11" s="41"/>
      <c r="AW11" s="41"/>
      <c r="AX11" s="41"/>
      <c r="AY11" s="41"/>
      <c r="BA11" s="162" t="s">
        <v>103</v>
      </c>
      <c r="BB11" s="162">
        <v>30.71</v>
      </c>
      <c r="BC11" s="162">
        <v>0</v>
      </c>
      <c r="BD11" s="41"/>
      <c r="BE11" s="41"/>
      <c r="BF11" s="41"/>
      <c r="BG11" s="41"/>
      <c r="BI11" s="162"/>
      <c r="BJ11" s="162"/>
      <c r="BK11" s="162"/>
      <c r="BL11" s="41"/>
      <c r="BM11" s="41"/>
      <c r="BN11" s="41"/>
      <c r="BO11" s="41"/>
      <c r="BQ11" s="162"/>
      <c r="BR11" s="162"/>
      <c r="BS11" s="162"/>
      <c r="BT11" s="41"/>
      <c r="BU11" s="41"/>
      <c r="BV11" s="41"/>
      <c r="BW11" s="41"/>
      <c r="BY11" s="162"/>
      <c r="BZ11" s="162"/>
      <c r="CA11" s="162"/>
      <c r="CB11" s="41"/>
      <c r="CC11" s="41"/>
      <c r="CD11" s="41"/>
      <c r="CE11" s="41"/>
    </row>
    <row r="12" spans="5:83" ht="12.9" thickBot="1" x14ac:dyDescent="0.35">
      <c r="E12" s="3"/>
      <c r="F12" s="3"/>
      <c r="G12" s="3" t="s">
        <v>101</v>
      </c>
      <c r="H12" s="3"/>
      <c r="I12" s="3"/>
      <c r="J12" s="3"/>
      <c r="K12" s="3"/>
      <c r="L12" s="1"/>
      <c r="M12" s="162" t="s">
        <v>104</v>
      </c>
      <c r="N12" s="162">
        <v>0</v>
      </c>
      <c r="O12" s="162">
        <v>0</v>
      </c>
      <c r="P12" s="41"/>
      <c r="Q12" s="41"/>
      <c r="R12" s="41"/>
      <c r="S12" s="41"/>
      <c r="U12" s="162" t="s">
        <v>104</v>
      </c>
      <c r="V12" s="162">
        <v>0</v>
      </c>
      <c r="W12" s="162">
        <v>0</v>
      </c>
      <c r="X12" s="41"/>
      <c r="Y12" s="41"/>
      <c r="Z12" s="41"/>
      <c r="AA12" s="41"/>
      <c r="AC12" s="162" t="s">
        <v>104</v>
      </c>
      <c r="AD12" s="162">
        <v>0</v>
      </c>
      <c r="AE12" s="162">
        <v>0</v>
      </c>
      <c r="AF12" s="41"/>
      <c r="AG12" s="41"/>
      <c r="AH12" s="41"/>
      <c r="AI12" s="41"/>
      <c r="AK12" s="162" t="s">
        <v>104</v>
      </c>
      <c r="AL12" s="162">
        <v>0</v>
      </c>
      <c r="AM12" s="162">
        <v>0</v>
      </c>
      <c r="AN12" s="41"/>
      <c r="AO12" s="41"/>
      <c r="AP12" s="41"/>
      <c r="AQ12" s="41"/>
      <c r="AS12" s="162" t="s">
        <v>104</v>
      </c>
      <c r="AT12" s="162">
        <v>0</v>
      </c>
      <c r="AU12" s="162">
        <v>0</v>
      </c>
      <c r="AV12" s="41"/>
      <c r="AW12" s="41"/>
      <c r="AX12" s="41"/>
      <c r="AY12" s="41"/>
      <c r="BA12" s="162" t="s">
        <v>104</v>
      </c>
      <c r="BB12" s="162">
        <v>0</v>
      </c>
      <c r="BC12" s="162">
        <v>0</v>
      </c>
      <c r="BD12" s="41"/>
      <c r="BE12" s="41"/>
      <c r="BF12" s="41"/>
      <c r="BG12" s="41"/>
      <c r="BI12" s="162"/>
      <c r="BJ12" s="162"/>
      <c r="BK12" s="162"/>
      <c r="BL12" s="41"/>
      <c r="BM12" s="41"/>
      <c r="BN12" s="41"/>
      <c r="BO12" s="41"/>
      <c r="BQ12" s="162"/>
      <c r="BR12" s="162"/>
      <c r="BS12" s="162"/>
      <c r="BT12" s="41"/>
      <c r="BU12" s="41"/>
      <c r="BV12" s="41"/>
      <c r="BW12" s="41"/>
      <c r="BY12" s="162"/>
      <c r="BZ12" s="162"/>
      <c r="CA12" s="162"/>
      <c r="CB12" s="41"/>
      <c r="CC12" s="41"/>
      <c r="CD12" s="41"/>
      <c r="CE12" s="41"/>
    </row>
    <row r="13" spans="5:83" ht="12.9" thickBot="1" x14ac:dyDescent="0.35">
      <c r="E13" s="3"/>
      <c r="F13" s="3" t="s">
        <v>101</v>
      </c>
      <c r="G13" s="3"/>
      <c r="H13" s="3"/>
      <c r="I13" s="3"/>
      <c r="J13" s="3"/>
      <c r="K13" s="3"/>
      <c r="L13" s="1"/>
      <c r="M13" s="162" t="s">
        <v>105</v>
      </c>
      <c r="N13" s="162">
        <v>0</v>
      </c>
      <c r="O13" s="162">
        <v>0</v>
      </c>
      <c r="P13" s="41"/>
      <c r="Q13" s="41"/>
      <c r="R13" s="41"/>
      <c r="S13" s="41"/>
      <c r="U13" s="162" t="s">
        <v>105</v>
      </c>
      <c r="V13" s="162">
        <v>0</v>
      </c>
      <c r="W13" s="162">
        <v>0</v>
      </c>
      <c r="X13" s="41"/>
      <c r="Y13" s="41"/>
      <c r="Z13" s="41"/>
      <c r="AA13" s="41"/>
      <c r="AC13" s="162" t="s">
        <v>105</v>
      </c>
      <c r="AD13" s="162">
        <v>0</v>
      </c>
      <c r="AE13" s="162">
        <v>0</v>
      </c>
      <c r="AF13" s="41"/>
      <c r="AG13" s="41"/>
      <c r="AH13" s="41"/>
      <c r="AI13" s="41"/>
      <c r="AK13" s="162" t="s">
        <v>105</v>
      </c>
      <c r="AL13" s="162">
        <v>0</v>
      </c>
      <c r="AM13" s="162">
        <v>0</v>
      </c>
      <c r="AN13" s="41"/>
      <c r="AO13" s="41"/>
      <c r="AP13" s="41"/>
      <c r="AQ13" s="41"/>
      <c r="AS13" s="162" t="s">
        <v>105</v>
      </c>
      <c r="AT13" s="162">
        <v>0</v>
      </c>
      <c r="AU13" s="162">
        <v>0</v>
      </c>
      <c r="AV13" s="41"/>
      <c r="AW13" s="41"/>
      <c r="AX13" s="41"/>
      <c r="AY13" s="41"/>
      <c r="BA13" s="162" t="s">
        <v>105</v>
      </c>
      <c r="BB13" s="162">
        <v>0</v>
      </c>
      <c r="BC13" s="162">
        <v>0</v>
      </c>
      <c r="BD13" s="41"/>
      <c r="BE13" s="41"/>
      <c r="BF13" s="41"/>
      <c r="BG13" s="41"/>
      <c r="BI13" s="162"/>
      <c r="BJ13" s="162"/>
      <c r="BK13" s="162"/>
      <c r="BL13" s="41"/>
      <c r="BM13" s="41"/>
      <c r="BN13" s="41"/>
      <c r="BO13" s="41"/>
      <c r="BQ13" s="162"/>
      <c r="BR13" s="162"/>
      <c r="BS13" s="162"/>
      <c r="BT13" s="41"/>
      <c r="BU13" s="41"/>
      <c r="BV13" s="41"/>
      <c r="BW13" s="41"/>
      <c r="BY13" s="162"/>
      <c r="BZ13" s="162"/>
      <c r="CA13" s="162"/>
      <c r="CB13" s="41"/>
      <c r="CC13" s="41"/>
      <c r="CD13" s="41"/>
      <c r="CE13" s="41"/>
    </row>
    <row r="14" spans="5:83" ht="12.9" thickBot="1" x14ac:dyDescent="0.35">
      <c r="E14" s="3"/>
      <c r="F14" s="3" t="s">
        <v>101</v>
      </c>
      <c r="G14" s="3"/>
      <c r="H14" s="3"/>
      <c r="I14" s="3"/>
      <c r="J14" s="3"/>
      <c r="K14" s="3"/>
      <c r="L14" s="1"/>
      <c r="M14" s="162" t="s">
        <v>73</v>
      </c>
      <c r="N14" s="162">
        <v>0</v>
      </c>
      <c r="O14" s="162">
        <v>0</v>
      </c>
      <c r="P14" s="41"/>
      <c r="Q14" s="41"/>
      <c r="R14" s="41"/>
      <c r="S14" s="41"/>
      <c r="U14" s="162" t="s">
        <v>73</v>
      </c>
      <c r="V14" s="162">
        <v>0</v>
      </c>
      <c r="W14" s="162">
        <v>0</v>
      </c>
      <c r="X14" s="41"/>
      <c r="Y14" s="41"/>
      <c r="Z14" s="41"/>
      <c r="AA14" s="41"/>
      <c r="AC14" s="162" t="s">
        <v>73</v>
      </c>
      <c r="AD14" s="162">
        <v>0</v>
      </c>
      <c r="AE14" s="162">
        <v>0</v>
      </c>
      <c r="AF14" s="41"/>
      <c r="AG14" s="41"/>
      <c r="AH14" s="41"/>
      <c r="AI14" s="41"/>
      <c r="AK14" s="162" t="s">
        <v>73</v>
      </c>
      <c r="AL14" s="162">
        <v>0</v>
      </c>
      <c r="AM14" s="162">
        <v>0</v>
      </c>
      <c r="AN14" s="41"/>
      <c r="AO14" s="41"/>
      <c r="AP14" s="41"/>
      <c r="AQ14" s="41"/>
      <c r="AS14" s="162" t="s">
        <v>73</v>
      </c>
      <c r="AT14" s="162">
        <v>0</v>
      </c>
      <c r="AU14" s="162">
        <v>0</v>
      </c>
      <c r="AV14" s="41"/>
      <c r="AW14" s="41"/>
      <c r="AX14" s="41"/>
      <c r="AY14" s="41"/>
      <c r="BA14" s="162" t="s">
        <v>73</v>
      </c>
      <c r="BB14" s="162">
        <v>0</v>
      </c>
      <c r="BC14" s="162">
        <v>0</v>
      </c>
      <c r="BD14" s="41"/>
      <c r="BE14" s="41"/>
      <c r="BF14" s="41"/>
      <c r="BG14" s="41"/>
      <c r="BI14" s="162"/>
      <c r="BJ14" s="162"/>
      <c r="BK14" s="162"/>
      <c r="BL14" s="41"/>
      <c r="BM14" s="41"/>
      <c r="BN14" s="41"/>
      <c r="BO14" s="41"/>
      <c r="BQ14" s="162"/>
      <c r="BR14" s="162"/>
      <c r="BS14" s="162"/>
      <c r="BT14" s="41"/>
      <c r="BU14" s="41"/>
      <c r="BV14" s="41"/>
      <c r="BW14" s="41"/>
      <c r="BY14" s="162"/>
      <c r="BZ14" s="162"/>
      <c r="CA14" s="162"/>
      <c r="CB14" s="41"/>
      <c r="CC14" s="41"/>
      <c r="CD14" s="41"/>
      <c r="CE14" s="41"/>
    </row>
    <row r="15" spans="5:83" ht="12.9" thickBot="1" x14ac:dyDescent="0.35">
      <c r="E15" s="3"/>
      <c r="F15" s="3"/>
      <c r="G15" s="3"/>
      <c r="H15" s="3"/>
      <c r="I15" s="3"/>
      <c r="J15" s="3"/>
      <c r="K15" s="3" t="s">
        <v>101</v>
      </c>
      <c r="L15" s="1"/>
      <c r="M15" s="162" t="s">
        <v>107</v>
      </c>
      <c r="N15" s="162">
        <v>0</v>
      </c>
      <c r="O15" s="162">
        <v>12940.41</v>
      </c>
      <c r="P15" s="41"/>
      <c r="Q15" s="41"/>
      <c r="R15" s="41"/>
      <c r="S15" s="41"/>
      <c r="U15" s="162" t="s">
        <v>107</v>
      </c>
      <c r="V15" s="162">
        <v>0</v>
      </c>
      <c r="W15" s="162">
        <v>162460.98000000001</v>
      </c>
      <c r="X15" s="41"/>
      <c r="Y15" s="41"/>
      <c r="Z15" s="41"/>
      <c r="AA15" s="41"/>
      <c r="AC15" s="162" t="s">
        <v>107</v>
      </c>
      <c r="AD15" s="162">
        <v>0</v>
      </c>
      <c r="AE15" s="162">
        <v>204015.37</v>
      </c>
      <c r="AF15" s="41"/>
      <c r="AG15" s="41"/>
      <c r="AH15" s="41"/>
      <c r="AI15" s="41"/>
      <c r="AK15" s="162" t="s">
        <v>107</v>
      </c>
      <c r="AL15" s="162">
        <v>0</v>
      </c>
      <c r="AM15" s="162">
        <v>213204.18</v>
      </c>
      <c r="AN15" s="41"/>
      <c r="AO15" s="41"/>
      <c r="AP15" s="41"/>
      <c r="AQ15" s="41"/>
      <c r="AS15" s="162" t="s">
        <v>107</v>
      </c>
      <c r="AT15" s="162">
        <v>0</v>
      </c>
      <c r="AU15" s="162">
        <v>335684.29</v>
      </c>
      <c r="AV15" s="41"/>
      <c r="AW15" s="41"/>
      <c r="AX15" s="41"/>
      <c r="AY15" s="41"/>
      <c r="BA15" s="162" t="s">
        <v>107</v>
      </c>
      <c r="BB15" s="162">
        <v>0</v>
      </c>
      <c r="BC15" s="162">
        <v>215899.95</v>
      </c>
      <c r="BD15" s="41"/>
      <c r="BE15" s="41"/>
      <c r="BF15" s="41"/>
      <c r="BG15" s="189"/>
      <c r="BI15" s="162"/>
      <c r="BJ15" s="162"/>
      <c r="BK15" s="162"/>
      <c r="BL15" s="41"/>
      <c r="BM15" s="41"/>
      <c r="BN15" s="41"/>
      <c r="BO15" s="41"/>
      <c r="BQ15" s="162"/>
      <c r="BR15" s="162"/>
      <c r="BS15" s="162"/>
      <c r="BT15" s="41"/>
      <c r="BU15" s="41"/>
      <c r="BV15" s="41"/>
      <c r="BW15" s="41"/>
      <c r="BY15" s="162"/>
      <c r="BZ15" s="162"/>
      <c r="CA15" s="162"/>
      <c r="CB15" s="41"/>
      <c r="CC15" s="41"/>
      <c r="CD15" s="41"/>
      <c r="CE15" s="41"/>
    </row>
    <row r="16" spans="5:83" ht="12.9" thickBot="1" x14ac:dyDescent="0.35">
      <c r="E16" s="3"/>
      <c r="F16" s="3"/>
      <c r="G16" s="3" t="s">
        <v>101</v>
      </c>
      <c r="H16" s="3"/>
      <c r="I16" s="3"/>
      <c r="J16" s="3"/>
      <c r="K16" s="3"/>
      <c r="L16" s="1"/>
      <c r="M16" s="162" t="s">
        <v>112</v>
      </c>
      <c r="N16" s="162">
        <v>0</v>
      </c>
      <c r="O16" s="162">
        <v>0</v>
      </c>
      <c r="P16" s="41"/>
      <c r="Q16" s="41"/>
      <c r="R16" s="41"/>
      <c r="S16" s="41"/>
      <c r="U16" s="162" t="s">
        <v>112</v>
      </c>
      <c r="V16" s="162">
        <v>0</v>
      </c>
      <c r="W16" s="162">
        <v>0</v>
      </c>
      <c r="X16" s="41"/>
      <c r="Y16" s="41"/>
      <c r="Z16" s="41"/>
      <c r="AA16" s="41"/>
      <c r="AC16" s="162" t="s">
        <v>112</v>
      </c>
      <c r="AD16" s="162">
        <v>0</v>
      </c>
      <c r="AE16" s="162">
        <v>0</v>
      </c>
      <c r="AF16" s="41"/>
      <c r="AG16" s="41"/>
      <c r="AH16" s="41"/>
      <c r="AI16" s="41"/>
      <c r="AK16" s="162" t="s">
        <v>112</v>
      </c>
      <c r="AL16" s="162">
        <v>0</v>
      </c>
      <c r="AM16" s="162">
        <v>0</v>
      </c>
      <c r="AN16" s="41"/>
      <c r="AO16" s="41"/>
      <c r="AP16" s="41"/>
      <c r="AQ16" s="41"/>
      <c r="AS16" s="162" t="s">
        <v>112</v>
      </c>
      <c r="AT16" s="162">
        <v>0</v>
      </c>
      <c r="AU16" s="162">
        <v>0</v>
      </c>
      <c r="AV16" s="41"/>
      <c r="AW16" s="41"/>
      <c r="AX16" s="41"/>
      <c r="AY16" s="41"/>
      <c r="BA16" s="162" t="s">
        <v>112</v>
      </c>
      <c r="BB16" s="162">
        <v>0</v>
      </c>
      <c r="BC16" s="162">
        <v>0</v>
      </c>
      <c r="BD16" s="41"/>
      <c r="BE16" s="41"/>
      <c r="BF16" s="41"/>
      <c r="BG16" s="41"/>
      <c r="BI16" s="162"/>
      <c r="BJ16" s="162"/>
      <c r="BK16" s="162"/>
      <c r="BL16" s="41"/>
      <c r="BM16" s="41"/>
      <c r="BN16" s="41"/>
      <c r="BO16" s="41"/>
      <c r="BQ16" s="162"/>
      <c r="BR16" s="162"/>
      <c r="BS16" s="162"/>
      <c r="BT16" s="41"/>
      <c r="BU16" s="41"/>
      <c r="BV16" s="41"/>
      <c r="BW16" s="41"/>
      <c r="BY16" s="162"/>
      <c r="BZ16" s="162"/>
      <c r="CA16" s="162"/>
      <c r="CB16" s="41"/>
      <c r="CC16" s="41"/>
      <c r="CD16" s="41"/>
      <c r="CE16" s="41"/>
    </row>
    <row r="17" spans="2:83" ht="12.9" thickBot="1" x14ac:dyDescent="0.35">
      <c r="E17" s="3"/>
      <c r="F17" s="3"/>
      <c r="G17" s="3"/>
      <c r="H17" s="3"/>
      <c r="I17" s="3"/>
      <c r="J17" s="3"/>
      <c r="K17" s="3"/>
      <c r="L17" s="1"/>
      <c r="M17" s="162" t="s">
        <v>114</v>
      </c>
      <c r="N17" s="162">
        <v>0</v>
      </c>
      <c r="O17" s="162">
        <v>0</v>
      </c>
      <c r="P17" s="41"/>
      <c r="Q17" s="41"/>
      <c r="R17" s="41"/>
      <c r="S17" s="41"/>
      <c r="U17" s="162" t="s">
        <v>114</v>
      </c>
      <c r="V17" s="162">
        <v>0</v>
      </c>
      <c r="W17" s="162">
        <v>0</v>
      </c>
      <c r="X17" s="41"/>
      <c r="Y17" s="41"/>
      <c r="Z17" s="41"/>
      <c r="AA17" s="41"/>
      <c r="AC17" s="162" t="s">
        <v>114</v>
      </c>
      <c r="AD17" s="162">
        <v>0</v>
      </c>
      <c r="AE17" s="162">
        <v>0</v>
      </c>
      <c r="AF17" s="41"/>
      <c r="AG17" s="41"/>
      <c r="AH17" s="41"/>
      <c r="AI17" s="41"/>
      <c r="AK17" s="162" t="s">
        <v>114</v>
      </c>
      <c r="AL17" s="162">
        <v>0</v>
      </c>
      <c r="AM17" s="162">
        <v>0</v>
      </c>
      <c r="AN17" s="41"/>
      <c r="AO17" s="41"/>
      <c r="AP17" s="41"/>
      <c r="AQ17" s="41"/>
      <c r="AS17" s="162" t="s">
        <v>114</v>
      </c>
      <c r="AT17" s="162">
        <v>0</v>
      </c>
      <c r="AU17" s="162">
        <v>0</v>
      </c>
      <c r="AV17" s="41"/>
      <c r="AW17" s="41"/>
      <c r="AX17" s="41"/>
      <c r="AY17" s="41"/>
      <c r="BA17" s="162" t="s">
        <v>114</v>
      </c>
      <c r="BB17" s="162">
        <v>0</v>
      </c>
      <c r="BC17" s="162">
        <v>0</v>
      </c>
      <c r="BD17" s="41"/>
      <c r="BE17" s="41"/>
      <c r="BF17" s="41"/>
      <c r="BG17" s="41"/>
      <c r="BI17" s="162"/>
      <c r="BJ17" s="162"/>
      <c r="BK17" s="162"/>
      <c r="BL17" s="41"/>
      <c r="BM17" s="41"/>
      <c r="BN17" s="41"/>
      <c r="BO17" s="41"/>
      <c r="BQ17" s="162"/>
      <c r="BR17" s="162"/>
      <c r="BS17" s="162"/>
      <c r="BT17" s="41"/>
      <c r="BU17" s="41"/>
      <c r="BV17" s="41"/>
      <c r="BW17" s="41"/>
      <c r="BY17" s="162"/>
      <c r="BZ17" s="162"/>
      <c r="CA17" s="162"/>
      <c r="CB17" s="41"/>
      <c r="CC17" s="41"/>
      <c r="CD17" s="41"/>
      <c r="CE17" s="41"/>
    </row>
    <row r="18" spans="2:83" ht="12.9" thickBot="1" x14ac:dyDescent="0.35">
      <c r="M18" s="162"/>
      <c r="N18" s="162"/>
      <c r="O18" s="162"/>
      <c r="P18" s="41"/>
      <c r="Q18" s="41"/>
      <c r="R18" s="41"/>
      <c r="S18" s="41"/>
      <c r="U18" s="162"/>
      <c r="V18" s="162"/>
      <c r="W18" s="162"/>
      <c r="X18" s="41"/>
      <c r="Y18" s="41"/>
      <c r="Z18" s="41"/>
      <c r="AA18" s="41"/>
      <c r="AB18" t="s">
        <v>532</v>
      </c>
      <c r="AC18" s="162"/>
      <c r="AD18" s="162"/>
      <c r="AE18" s="162"/>
      <c r="AF18" s="41"/>
      <c r="AG18" s="41"/>
      <c r="AH18" s="41"/>
      <c r="AI18" s="41"/>
      <c r="AK18" s="162"/>
      <c r="AL18" s="162"/>
      <c r="AM18" s="162"/>
      <c r="AN18" s="41"/>
      <c r="AO18" s="41"/>
      <c r="AP18" s="41"/>
      <c r="AQ18" s="41"/>
      <c r="AS18" s="162"/>
      <c r="AT18" s="162"/>
      <c r="AU18" s="162"/>
      <c r="AV18" s="41"/>
      <c r="AW18" s="41"/>
      <c r="AX18" s="41"/>
      <c r="AY18" s="41"/>
      <c r="BA18" s="162"/>
      <c r="BB18" s="162"/>
      <c r="BC18" s="162"/>
      <c r="BD18" s="41"/>
      <c r="BE18" s="41"/>
      <c r="BF18" s="41"/>
      <c r="BG18" s="41"/>
      <c r="BI18" s="162"/>
      <c r="BJ18" s="162"/>
      <c r="BK18" s="162"/>
      <c r="BL18" s="41"/>
      <c r="BM18" s="41"/>
      <c r="BN18" s="41"/>
      <c r="BO18" s="41"/>
      <c r="BQ18" s="162"/>
      <c r="BR18" s="162"/>
      <c r="BS18" s="162"/>
      <c r="BT18" s="41"/>
      <c r="BU18" s="41"/>
      <c r="BV18" s="41"/>
      <c r="BW18" s="41"/>
      <c r="BY18" s="162"/>
      <c r="BZ18" s="162"/>
      <c r="CA18" s="162"/>
      <c r="CB18" s="41"/>
      <c r="CC18" s="41"/>
      <c r="CD18" s="41"/>
      <c r="CE18" s="41"/>
    </row>
    <row r="19" spans="2:83" ht="12.9" thickBot="1" x14ac:dyDescent="0.35">
      <c r="M19" s="162" t="s">
        <v>293</v>
      </c>
      <c r="N19" s="162">
        <v>163850.32999999999</v>
      </c>
      <c r="O19" s="162">
        <v>355574.54</v>
      </c>
      <c r="P19" s="41"/>
      <c r="Q19" s="41"/>
      <c r="R19" s="41"/>
      <c r="S19" s="41"/>
      <c r="U19" s="162" t="s">
        <v>293</v>
      </c>
      <c r="V19" s="162">
        <v>796596.96</v>
      </c>
      <c r="W19" s="162">
        <v>1233899.24</v>
      </c>
      <c r="X19" s="41"/>
      <c r="Y19" s="41"/>
      <c r="Z19" s="41"/>
      <c r="AA19" s="41"/>
      <c r="AB19" t="s">
        <v>458</v>
      </c>
      <c r="AC19" s="162" t="s">
        <v>293</v>
      </c>
      <c r="AD19" s="162">
        <v>1348200.82</v>
      </c>
      <c r="AE19" s="162">
        <v>1806411.73</v>
      </c>
      <c r="AF19" s="41"/>
      <c r="AG19" s="41"/>
      <c r="AH19" s="41"/>
      <c r="AI19" s="41"/>
      <c r="AK19" s="162" t="s">
        <v>293</v>
      </c>
      <c r="AL19" s="162">
        <v>1664589.18</v>
      </c>
      <c r="AM19" s="162">
        <v>1635517.91</v>
      </c>
      <c r="AN19" s="41"/>
      <c r="AO19" s="41"/>
      <c r="AP19" s="41"/>
      <c r="AQ19" s="41"/>
      <c r="AS19" s="162" t="s">
        <v>293</v>
      </c>
      <c r="AT19" s="162">
        <v>2318844.31</v>
      </c>
      <c r="AU19" s="162">
        <v>3341693.69</v>
      </c>
      <c r="AV19" s="41"/>
      <c r="AW19" s="41"/>
      <c r="AX19" s="41"/>
      <c r="AY19" s="41"/>
      <c r="BA19" s="162" t="s">
        <v>293</v>
      </c>
      <c r="BB19" s="162">
        <v>1329305.93</v>
      </c>
      <c r="BC19" s="162">
        <v>2201934.8199999998</v>
      </c>
      <c r="BD19" s="41"/>
      <c r="BE19" s="41"/>
      <c r="BF19" s="41"/>
      <c r="BG19" s="41"/>
      <c r="BI19" s="162"/>
      <c r="BJ19" s="162"/>
      <c r="BK19" s="162"/>
      <c r="BL19" s="41"/>
      <c r="BM19" s="41"/>
      <c r="BN19" s="41"/>
      <c r="BO19" s="41"/>
      <c r="BQ19" s="162"/>
      <c r="BR19" s="162"/>
      <c r="BS19" s="162"/>
      <c r="BT19" s="41"/>
      <c r="BU19" s="41"/>
      <c r="BV19" s="41"/>
      <c r="BW19" s="41"/>
      <c r="BY19" s="162"/>
      <c r="BZ19" s="162"/>
      <c r="CA19" s="162"/>
      <c r="CB19" s="41"/>
      <c r="CC19" s="41"/>
      <c r="CD19" s="41"/>
      <c r="CE19" s="41"/>
    </row>
    <row r="20" spans="2:83" x14ac:dyDescent="0.3">
      <c r="M20" s="65"/>
      <c r="N20" s="66"/>
      <c r="O20" s="66"/>
      <c r="P20" s="66"/>
      <c r="Q20" s="66"/>
      <c r="R20" s="66"/>
      <c r="S20" s="66"/>
      <c r="U20" s="65"/>
      <c r="V20" s="66"/>
      <c r="W20" s="66"/>
      <c r="X20" s="66"/>
      <c r="Y20" s="66"/>
      <c r="Z20" s="66"/>
      <c r="AA20" s="66"/>
      <c r="AB20" t="s">
        <v>533</v>
      </c>
      <c r="AC20" s="65"/>
      <c r="AD20" s="66"/>
      <c r="AE20" s="66"/>
      <c r="AF20" s="66"/>
      <c r="AG20" s="66"/>
      <c r="AH20" s="66"/>
      <c r="AI20" s="66"/>
      <c r="AK20" s="65"/>
      <c r="AL20" s="66"/>
      <c r="AM20" s="66"/>
      <c r="AN20" s="66"/>
      <c r="AO20" s="66"/>
      <c r="AP20" s="66"/>
      <c r="AQ20" s="66"/>
      <c r="AS20" s="65"/>
      <c r="AT20" s="66"/>
      <c r="AU20" s="66"/>
      <c r="AV20" s="66"/>
      <c r="AW20" s="66"/>
      <c r="AX20" s="66"/>
      <c r="AY20" s="66"/>
      <c r="BA20" s="65"/>
      <c r="BB20" s="66"/>
      <c r="BC20" s="66"/>
      <c r="BD20" s="66"/>
      <c r="BE20" s="66"/>
      <c r="BF20" s="66"/>
      <c r="BG20" s="66"/>
      <c r="BI20" s="65"/>
      <c r="BJ20" s="66"/>
      <c r="BK20" s="66"/>
      <c r="BL20" s="66"/>
      <c r="BM20" s="66"/>
      <c r="BN20" s="66"/>
      <c r="BO20" s="66"/>
      <c r="BQ20" s="65"/>
      <c r="BR20" s="66"/>
      <c r="BS20" s="66"/>
      <c r="BT20" s="66"/>
      <c r="BU20" s="66"/>
      <c r="BV20" s="66"/>
      <c r="BW20" s="66"/>
      <c r="BY20" s="65"/>
      <c r="BZ20" s="66"/>
      <c r="CA20" s="66"/>
      <c r="CB20" s="66"/>
      <c r="CC20" s="66"/>
      <c r="CD20" s="66"/>
      <c r="CE20" s="66"/>
    </row>
    <row r="21" spans="2:83" x14ac:dyDescent="0.3">
      <c r="B21" s="14"/>
      <c r="C21" s="14"/>
      <c r="D21" s="14"/>
      <c r="E21" s="14"/>
      <c r="F21" s="14"/>
      <c r="G21" s="14"/>
      <c r="H21" s="14"/>
      <c r="I21" s="14"/>
      <c r="J21" s="14"/>
      <c r="K21" s="14"/>
      <c r="L21" s="14"/>
      <c r="M21" s="67"/>
      <c r="N21" s="68"/>
      <c r="O21" s="68"/>
      <c r="P21" s="68"/>
      <c r="Q21" s="68"/>
      <c r="R21" s="68"/>
      <c r="S21" s="68"/>
      <c r="T21" s="14"/>
      <c r="U21" s="67"/>
      <c r="V21" s="68"/>
      <c r="W21" s="68"/>
      <c r="X21" s="68"/>
      <c r="Y21" s="68"/>
      <c r="Z21" s="68"/>
      <c r="AA21" s="68"/>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row>
    <row r="22" spans="2:83" x14ac:dyDescent="0.3">
      <c r="B22" s="83" t="s">
        <v>15</v>
      </c>
      <c r="C22" s="1">
        <v>0</v>
      </c>
      <c r="D22" s="1">
        <v>1</v>
      </c>
      <c r="E22" s="1">
        <v>2</v>
      </c>
      <c r="F22" s="1">
        <v>3</v>
      </c>
      <c r="G22" s="1">
        <v>4</v>
      </c>
      <c r="H22" s="1">
        <v>5</v>
      </c>
      <c r="I22" s="1">
        <v>6</v>
      </c>
      <c r="J22" s="1">
        <v>7</v>
      </c>
      <c r="K22" s="1">
        <v>8</v>
      </c>
    </row>
    <row r="23" spans="2:83" s="22" customFormat="1" ht="37.299999999999997" x14ac:dyDescent="0.3">
      <c r="C23" s="11" t="str">
        <f>'Neighborhood Inputs'!N2</f>
        <v>262 Homes - Existing</v>
      </c>
      <c r="D23" s="11" t="str">
        <f>'Neighborhood Inputs'!O2</f>
        <v>262 Homes - Geo</v>
      </c>
      <c r="E23" s="11" t="str">
        <f>'Neighborhood Inputs'!P2</f>
        <v>Community Center - Existing</v>
      </c>
      <c r="F23" s="11" t="str">
        <f>'Neighborhood Inputs'!Q2</f>
        <v>Community Center - Geo</v>
      </c>
      <c r="G23" s="11" t="str">
        <f>'Neighborhood Inputs'!R2</f>
        <v>Bryant Elementary - Existing</v>
      </c>
      <c r="H23" s="11" t="str">
        <f>'Neighborhood Inputs'!S2</f>
        <v>Bryant Elementary - Geo</v>
      </c>
      <c r="I23" s="11" t="str">
        <f>'Neighborhood Inputs'!T2</f>
        <v>County Health - Existing</v>
      </c>
      <c r="J23" s="11" t="str">
        <f>'Neighborhood Inputs'!U2</f>
        <v>County Health - Geo</v>
      </c>
      <c r="K23" s="11" t="str">
        <f>'Neighborhood Inputs'!W2</f>
        <v>Wheeler Center - Geo</v>
      </c>
      <c r="N23" s="21" t="s">
        <v>76</v>
      </c>
      <c r="O23" s="21" t="s">
        <v>79</v>
      </c>
      <c r="P23" s="21" t="s">
        <v>83</v>
      </c>
      <c r="Q23" s="21" t="s">
        <v>82</v>
      </c>
      <c r="R23" s="21" t="s">
        <v>81</v>
      </c>
      <c r="S23" s="82" t="s">
        <v>2</v>
      </c>
      <c r="T23" s="22" t="s">
        <v>295</v>
      </c>
      <c r="V23" s="21" t="s">
        <v>76</v>
      </c>
      <c r="W23" s="21" t="s">
        <v>79</v>
      </c>
      <c r="X23" s="21" t="s">
        <v>83</v>
      </c>
      <c r="Y23" s="21" t="s">
        <v>82</v>
      </c>
      <c r="Z23" s="21" t="s">
        <v>81</v>
      </c>
      <c r="AA23" s="82" t="s">
        <v>2</v>
      </c>
      <c r="AB23" s="188" t="s">
        <v>534</v>
      </c>
      <c r="AD23" s="21" t="s">
        <v>76</v>
      </c>
      <c r="AE23" s="21" t="s">
        <v>79</v>
      </c>
      <c r="AF23" s="21" t="s">
        <v>83</v>
      </c>
      <c r="AG23" s="21" t="s">
        <v>82</v>
      </c>
      <c r="AH23" s="21" t="s">
        <v>81</v>
      </c>
      <c r="AI23" s="82" t="s">
        <v>2</v>
      </c>
      <c r="AJ23" s="188"/>
      <c r="AL23" s="21" t="s">
        <v>76</v>
      </c>
      <c r="AM23" s="21" t="s">
        <v>79</v>
      </c>
      <c r="AN23" s="21" t="s">
        <v>83</v>
      </c>
      <c r="AO23" s="21" t="s">
        <v>82</v>
      </c>
      <c r="AP23" s="21" t="s">
        <v>81</v>
      </c>
      <c r="AQ23" s="82" t="s">
        <v>2</v>
      </c>
      <c r="AT23" s="21" t="s">
        <v>76</v>
      </c>
      <c r="AU23" s="21" t="s">
        <v>79</v>
      </c>
      <c r="AV23" s="21" t="s">
        <v>83</v>
      </c>
      <c r="AW23" s="21" t="s">
        <v>82</v>
      </c>
      <c r="AX23" s="21" t="s">
        <v>81</v>
      </c>
      <c r="AY23" s="82" t="s">
        <v>2</v>
      </c>
      <c r="BB23" s="21" t="s">
        <v>76</v>
      </c>
      <c r="BC23" s="21" t="s">
        <v>79</v>
      </c>
      <c r="BD23" s="21" t="s">
        <v>83</v>
      </c>
      <c r="BE23" s="21" t="s">
        <v>82</v>
      </c>
      <c r="BF23" s="21" t="s">
        <v>81</v>
      </c>
      <c r="BG23" s="82" t="s">
        <v>2</v>
      </c>
      <c r="BH23" s="22" t="s">
        <v>295</v>
      </c>
      <c r="BJ23" s="21" t="s">
        <v>76</v>
      </c>
      <c r="BK23" s="21" t="s">
        <v>79</v>
      </c>
      <c r="BL23" s="21" t="s">
        <v>83</v>
      </c>
      <c r="BM23" s="21" t="s">
        <v>82</v>
      </c>
      <c r="BN23" s="21" t="s">
        <v>81</v>
      </c>
      <c r="BO23" s="82" t="s">
        <v>2</v>
      </c>
      <c r="BR23" s="21" t="s">
        <v>76</v>
      </c>
      <c r="BS23" s="21" t="s">
        <v>79</v>
      </c>
      <c r="BT23" s="21" t="s">
        <v>83</v>
      </c>
      <c r="BU23" s="21" t="s">
        <v>82</v>
      </c>
      <c r="BV23" s="21" t="s">
        <v>81</v>
      </c>
      <c r="BW23" s="82" t="s">
        <v>2</v>
      </c>
      <c r="BZ23" s="21" t="s">
        <v>76</v>
      </c>
      <c r="CA23" s="21" t="s">
        <v>79</v>
      </c>
      <c r="CB23" s="21" t="s">
        <v>83</v>
      </c>
      <c r="CC23" s="21" t="s">
        <v>82</v>
      </c>
      <c r="CD23" s="21" t="s">
        <v>81</v>
      </c>
      <c r="CE23" s="82" t="s">
        <v>2</v>
      </c>
    </row>
    <row r="24" spans="2:83" x14ac:dyDescent="0.3">
      <c r="B24" s="21" t="s">
        <v>89</v>
      </c>
      <c r="C24" s="69">
        <f ca="1">OFFSET($M24,0,(6+8*C$22))</f>
        <v>8.3462056578356538</v>
      </c>
      <c r="D24" s="69">
        <f t="shared" ref="D24:K31" ca="1" si="0">OFFSET($M24,0,(6+8*D$22))</f>
        <v>7.4719048532514867</v>
      </c>
      <c r="E24" s="69">
        <f t="shared" ca="1" si="0"/>
        <v>5.898783264150139</v>
      </c>
      <c r="F24" s="69">
        <f t="shared" ca="1" si="0"/>
        <v>5.8987824193693763</v>
      </c>
      <c r="G24" s="69">
        <f t="shared" ca="1" si="0"/>
        <v>5.8988341777027227</v>
      </c>
      <c r="H24" s="69">
        <f t="shared" ca="1" si="0"/>
        <v>8.6401813974187807</v>
      </c>
      <c r="I24" s="69">
        <f ca="1">OFFSET($M24,0,(6+8*I$22))</f>
        <v>0</v>
      </c>
      <c r="J24" s="69" t="e">
        <f t="shared" ca="1" si="0"/>
        <v>#REF!</v>
      </c>
      <c r="K24" s="69" t="e">
        <f t="shared" ca="1" si="0"/>
        <v>#REF!</v>
      </c>
      <c r="M24" s="21" t="s">
        <v>89</v>
      </c>
      <c r="N24" s="16">
        <f>SUMIFS(N4:N17,$E$4:$E$17,"x")</f>
        <v>37174</v>
      </c>
      <c r="O24" s="16">
        <f>SUMIFS(O4:O17,$E$4:$E$17,"x")</f>
        <v>0</v>
      </c>
      <c r="P24" s="16">
        <f>SUMIFS(P4:P17,$E$4:$E$17,"x")</f>
        <v>0</v>
      </c>
      <c r="Q24" s="16">
        <f>SUMIFS(Q4:Q17,$E$4:$E$17,"x")</f>
        <v>0</v>
      </c>
      <c r="R24" s="16">
        <f>SUMIFS(R4:R17,$E$4:$E$17,"x")</f>
        <v>0</v>
      </c>
      <c r="S24" s="71">
        <f>SUM(N24:R24)/'Neighborhood Inputs'!$E$28</f>
        <v>8.3462056578356538</v>
      </c>
      <c r="T24" s="1"/>
      <c r="U24" s="21" t="s">
        <v>89</v>
      </c>
      <c r="V24" s="16">
        <f>SUMIFS(V4:V17,$E$4:$E$17,"x")</f>
        <v>233706.23999999999</v>
      </c>
      <c r="W24" s="16">
        <f>SUMIFS(W4:W17,$E$4:$E$17,"x")</f>
        <v>0</v>
      </c>
      <c r="X24" s="16">
        <f>SUMIFS(X4:X17,$E$4:$E$17,"x")</f>
        <v>0</v>
      </c>
      <c r="Y24" s="16">
        <f>SUMIFS(Y4:Y17,$E$4:$E$17,"x")</f>
        <v>0</v>
      </c>
      <c r="Z24" s="16">
        <f>SUMIFS(Z4:Z17,$E$4:$E$17,"x")</f>
        <v>0</v>
      </c>
      <c r="AA24" s="71">
        <f>SUM(V24:Z24)/'Neighborhood Inputs'!$G$28</f>
        <v>7.4719048532514867</v>
      </c>
      <c r="AB24" s="180">
        <f>20%+2%+4%</f>
        <v>0.26</v>
      </c>
      <c r="AC24" s="21" t="s">
        <v>89</v>
      </c>
      <c r="AD24" s="16">
        <f>SUMIFS(AD4:AD17,$E$4:$E$17,"x")</f>
        <v>240811.81</v>
      </c>
      <c r="AE24" s="16">
        <f>SUMIFS(AE4:AE17,$E$4:$E$17,"x")</f>
        <v>0</v>
      </c>
      <c r="AF24" s="16">
        <f>SUMIFS(AF4:AF17,$E$4:$E$17,"x")</f>
        <v>0</v>
      </c>
      <c r="AG24" s="16">
        <f>SUMIFS(AG4:AG17,$E$4:$E$17,"x")</f>
        <v>0</v>
      </c>
      <c r="AH24" s="16">
        <f>SUMIFS(AH4:AH17,$E$4:$E$17,"x")</f>
        <v>0</v>
      </c>
      <c r="AI24" s="71">
        <f>SUM(AD24:AH24)/'Neighborhood Inputs'!$H$28</f>
        <v>5.898783264150139</v>
      </c>
      <c r="AJ24" s="300"/>
      <c r="AK24" s="21" t="s">
        <v>89</v>
      </c>
      <c r="AL24" s="16">
        <f>SUMIFS(AL4:AL17,$E$4:$E$17,"x")</f>
        <v>251312.67</v>
      </c>
      <c r="AM24" s="16">
        <f>SUMIFS(AM4:AM17,$E$4:$E$17,"x")</f>
        <v>0</v>
      </c>
      <c r="AN24" s="16">
        <f>SUMIFS(AN4:AN17,$E$4:$E$17,"x")</f>
        <v>0</v>
      </c>
      <c r="AO24" s="16">
        <f>SUMIFS(AO4:AO17,$E$4:$E$17,"x")</f>
        <v>0</v>
      </c>
      <c r="AP24" s="16">
        <f>SUMIFS(AP4:AP17,$E$4:$E$17,"x")</f>
        <v>0</v>
      </c>
      <c r="AQ24" s="71">
        <f>SUM(AL24:AP24)/'Neighborhood Inputs'!$I$28</f>
        <v>5.8987824193693763</v>
      </c>
      <c r="AS24" s="21" t="s">
        <v>89</v>
      </c>
      <c r="AT24" s="16">
        <f>SUMIFS(AT4:AT17,$E$4:$E$17,"x")</f>
        <v>398206.7</v>
      </c>
      <c r="AU24" s="16">
        <f>SUMIFS(AU4:AU17,$E$4:$E$17,"x")</f>
        <v>0</v>
      </c>
      <c r="AV24" s="16">
        <f>SUMIFS(AV4:AV17,$E$4:$E$17,"x")</f>
        <v>0</v>
      </c>
      <c r="AW24" s="16">
        <f>SUMIFS(AW4:AW17,$E$4:$E$17,"x")</f>
        <v>0</v>
      </c>
      <c r="AX24" s="16">
        <f>SUMIFS(AX4:AX17,$E$4:$E$17,"x")</f>
        <v>0</v>
      </c>
      <c r="AY24" s="71">
        <f>SUM(AT24:AX24)/'Neighborhood Inputs'!$J$28</f>
        <v>5.8988341777027227</v>
      </c>
      <c r="BA24" s="21" t="s">
        <v>89</v>
      </c>
      <c r="BB24" s="16">
        <f>SUMIFS(BB4:BB17,$E$4:$E$17,"x")</f>
        <v>485362.19</v>
      </c>
      <c r="BC24" s="16">
        <f>SUMIFS(BC4:BC17,$E$4:$E$17,"x")</f>
        <v>0</v>
      </c>
      <c r="BD24" s="16">
        <f>SUMIFS(BD4:BD17,$E$4:$E$17,"x")</f>
        <v>0</v>
      </c>
      <c r="BE24" s="16">
        <f>SUMIFS(BE4:BE17,$E$4:$E$17,"x")</f>
        <v>0</v>
      </c>
      <c r="BF24" s="16">
        <f>SUMIFS(BF4:BF17,$E$4:$E$17,"x")</f>
        <v>0</v>
      </c>
      <c r="BG24" s="71">
        <f>SUM(BB24:BF24)/'Neighborhood Inputs'!$F$28</f>
        <v>8.6401813974187807</v>
      </c>
      <c r="BI24" s="21" t="s">
        <v>89</v>
      </c>
      <c r="BJ24" s="16">
        <f>SUMIFS(BJ4:BJ17,$E$4:$E$17,"x")</f>
        <v>0</v>
      </c>
      <c r="BK24" s="16">
        <f>SUMIFS(BK4:BK17,$E$4:$E$17,"x")</f>
        <v>0</v>
      </c>
      <c r="BL24" s="16">
        <f>SUMIFS(BL4:BL17,$E$4:$E$17,"x")</f>
        <v>0</v>
      </c>
      <c r="BM24" s="16">
        <f>SUMIFS(BM4:BM17,$E$4:$E$17,"x")</f>
        <v>0</v>
      </c>
      <c r="BN24" s="16">
        <f>SUMIFS(BN4:BN17,$E$4:$E$17,"x")</f>
        <v>0</v>
      </c>
      <c r="BO24" s="71">
        <f>SUM(BJ24:BN24)/'Neighborhood Inputs'!$D$28</f>
        <v>0</v>
      </c>
      <c r="BQ24" s="21" t="s">
        <v>89</v>
      </c>
      <c r="BR24" s="16">
        <f>SUMIFS(BR4:BR17,$E$4:$E$17,"x")</f>
        <v>0</v>
      </c>
      <c r="BS24" s="16">
        <f>SUMIFS(BS4:BS17,$E$4:$E$17,"x")</f>
        <v>0</v>
      </c>
      <c r="BT24" s="16">
        <f>SUMIFS(BT4:BT17,$E$4:$E$17,"x")</f>
        <v>0</v>
      </c>
      <c r="BU24" s="16">
        <f>SUMIFS(BU4:BU17,$E$4:$E$17,"x")</f>
        <v>0</v>
      </c>
      <c r="BV24" s="16">
        <f>SUMIFS(BV4:BV17,$E$4:$E$17,"x")</f>
        <v>0</v>
      </c>
      <c r="BW24" s="71" t="e">
        <f>SUM(BR24:BV24)/'Neighborhood Inputs'!#REF!</f>
        <v>#REF!</v>
      </c>
      <c r="BY24" s="21" t="s">
        <v>89</v>
      </c>
      <c r="BZ24" s="16">
        <f>SUMIFS(BZ4:BZ17,$E$4:$E$17,"x")</f>
        <v>0</v>
      </c>
      <c r="CA24" s="16">
        <f>SUMIFS(CA4:CA17,$E$4:$E$17,"x")</f>
        <v>0</v>
      </c>
      <c r="CB24" s="16">
        <f>SUMIFS(CB4:CB17,$E$4:$E$17,"x")</f>
        <v>0</v>
      </c>
      <c r="CC24" s="16">
        <f>SUMIFS(CC4:CC17,$E$4:$E$17,"x")</f>
        <v>0</v>
      </c>
      <c r="CD24" s="16">
        <f>SUMIFS(CD4:CD17,$E$4:$E$17,"x")</f>
        <v>0</v>
      </c>
      <c r="CE24" s="71" t="e">
        <f>SUM(BZ24:CD24)/'Neighborhood Inputs'!#REF!</f>
        <v>#REF!</v>
      </c>
    </row>
    <row r="25" spans="2:83" x14ac:dyDescent="0.3">
      <c r="B25" s="21" t="s">
        <v>90</v>
      </c>
      <c r="C25" s="69">
        <f ca="1">OFFSET($M25,0,(6+8*C$22))</f>
        <v>76.92728334081724</v>
      </c>
      <c r="D25" s="69">
        <f t="shared" ca="1" si="0"/>
        <v>34.255331542937526</v>
      </c>
      <c r="E25" s="69">
        <f t="shared" ca="1" si="0"/>
        <v>39.253217839122982</v>
      </c>
      <c r="F25" s="69">
        <f t="shared" ca="1" si="0"/>
        <v>33.385079532139585</v>
      </c>
      <c r="G25" s="69">
        <f t="shared" ca="1" si="0"/>
        <v>44.529514413533612</v>
      </c>
      <c r="H25" s="69">
        <f t="shared" ca="1" si="0"/>
        <v>35.354425812194037</v>
      </c>
      <c r="I25" s="69">
        <f t="shared" ca="1" si="0"/>
        <v>0</v>
      </c>
      <c r="J25" s="69" t="e">
        <f t="shared" ca="1" si="0"/>
        <v>#REF!</v>
      </c>
      <c r="K25" s="69" t="e">
        <f t="shared" ca="1" si="0"/>
        <v>#REF!</v>
      </c>
      <c r="M25" s="21" t="s">
        <v>90</v>
      </c>
      <c r="N25" s="16">
        <f>SUMIFS(N4:N17,$F$4:$F$17,"x")</f>
        <v>0</v>
      </c>
      <c r="O25" s="16">
        <f>SUMIFS(O4:O17,$F$4:$F$17,"x")</f>
        <v>342634.12</v>
      </c>
      <c r="P25" s="16">
        <f>SUMIFS(P4:P17,$F$4:$F$17,"x")</f>
        <v>0</v>
      </c>
      <c r="Q25" s="16">
        <f>SUMIFS(Q4:Q17,$F$4:$F$17,"x")</f>
        <v>0</v>
      </c>
      <c r="R25" s="16">
        <f>SUMIFS(R4:R17,$F$4:$F$17,"x")</f>
        <v>0</v>
      </c>
      <c r="S25" s="177">
        <f>SUM(N25:R25)/'Neighborhood Inputs'!$E$28</f>
        <v>76.92728334081724</v>
      </c>
      <c r="T25" s="20">
        <v>68</v>
      </c>
      <c r="U25" s="21" t="s">
        <v>90</v>
      </c>
      <c r="V25" s="16">
        <f>SUMIFS(V4:V17,$F$4:$F$17,"x")</f>
        <v>0</v>
      </c>
      <c r="W25" s="16">
        <f>SUMIFS(W4:W17,$F$4:$F$17,"x")</f>
        <v>1071438.26</v>
      </c>
      <c r="X25" s="16">
        <f>SUMIFS(X4:X17,$F$4:$F$17,"x")</f>
        <v>0</v>
      </c>
      <c r="Y25" s="16">
        <f>SUMIFS(Y4:Y17,$F$4:$F$17,"x")</f>
        <v>0</v>
      </c>
      <c r="Z25" s="16">
        <f>SUMIFS(Z4:Z17,$F$4:$F$17,"x")</f>
        <v>0</v>
      </c>
      <c r="AA25" s="71">
        <f>SUM(V25:Z25)/'Neighborhood Inputs'!$G$28</f>
        <v>34.255331542937526</v>
      </c>
      <c r="AB25" s="178">
        <v>0.25</v>
      </c>
      <c r="AC25" s="21" t="s">
        <v>90</v>
      </c>
      <c r="AD25" s="16">
        <f>SUMIFS(AD4:AD17,$F$4:$F$17,"x")</f>
        <v>76.22</v>
      </c>
      <c r="AE25" s="16">
        <f>SUMIFS(AE4:AE17,$F$4:$F$17,"x")</f>
        <v>1602396.36</v>
      </c>
      <c r="AF25" s="16">
        <f>SUMIFS(AF4:AF17,$F$4:$F$17,"x")</f>
        <v>0</v>
      </c>
      <c r="AG25" s="16">
        <f>SUMIFS(AG4:AG17,$F$4:$F$17,"x")</f>
        <v>0</v>
      </c>
      <c r="AH25" s="16">
        <f>SUMIFS(AH4:AH17,$F$4:$F$17,"x")</f>
        <v>0</v>
      </c>
      <c r="AI25" s="71">
        <f>SUM(AD25:AH25)/'Neighborhood Inputs'!$H$28</f>
        <v>39.253217839122982</v>
      </c>
      <c r="AJ25" s="1">
        <v>40</v>
      </c>
      <c r="AK25" s="21" t="s">
        <v>90</v>
      </c>
      <c r="AL25" s="16">
        <f>SUMIFS(AL4:AL17,$F$4:$F$17,"x")</f>
        <v>29.54</v>
      </c>
      <c r="AM25" s="16">
        <f>SUMIFS(AM4:AM17,$F$4:$F$17,"x")</f>
        <v>1422313.73</v>
      </c>
      <c r="AN25" s="16">
        <f>SUMIFS(AN4:AN17,$F$4:$F$17,"x")</f>
        <v>0</v>
      </c>
      <c r="AO25" s="16">
        <f>SUMIFS(AO4:AO17,$F$4:$F$17,"x")</f>
        <v>0</v>
      </c>
      <c r="AP25" s="16">
        <f>SUMIFS(AP4:AP17,$F$4:$F$17,"x")</f>
        <v>0</v>
      </c>
      <c r="AQ25" s="71">
        <f>SUM(AL25:AP25)/'Neighborhood Inputs'!$I$28</f>
        <v>33.385079532139585</v>
      </c>
      <c r="AS25" s="21" t="s">
        <v>90</v>
      </c>
      <c r="AT25" s="16">
        <f>SUMIFS(AT4:AT17,$F$4:$F$17,"x")</f>
        <v>0</v>
      </c>
      <c r="AU25" s="16">
        <f>SUMIFS(AU4:AU17,$F$4:$F$17,"x")</f>
        <v>3006009.4</v>
      </c>
      <c r="AV25" s="16">
        <f>SUMIFS(AV4:AV17,$F$4:$F$17,"x")</f>
        <v>0</v>
      </c>
      <c r="AW25" s="16">
        <f>SUMIFS(AW4:AW17,$F$4:$F$17,"x")</f>
        <v>0</v>
      </c>
      <c r="AX25" s="16">
        <f>SUMIFS(AX4:AX17,$F$4:$F$17,"x")</f>
        <v>0</v>
      </c>
      <c r="AY25" s="71">
        <f>SUM(AT25:AX25)/'Neighborhood Inputs'!$J$28</f>
        <v>44.529514413533612</v>
      </c>
      <c r="AZ25" s="185">
        <v>52</v>
      </c>
      <c r="BA25" s="21" t="s">
        <v>90</v>
      </c>
      <c r="BB25" s="16">
        <f>SUMIFS(BB4:BB17,$F$4:$F$17,"x")</f>
        <v>0</v>
      </c>
      <c r="BC25" s="16">
        <f>SUMIFS(BC4:BC17,$F$4:$F$17,"x")</f>
        <v>1986034.87</v>
      </c>
      <c r="BD25" s="16">
        <f>SUMIFS(BD4:BD17,$F$4:$F$17,"x")</f>
        <v>0</v>
      </c>
      <c r="BE25" s="16">
        <f>SUMIFS(BE4:BE17,$F$4:$F$17,"x")</f>
        <v>0</v>
      </c>
      <c r="BF25" s="16">
        <f>SUMIFS(BF4:BF17,$F$4:$F$17,"x")</f>
        <v>0</v>
      </c>
      <c r="BG25" s="71">
        <f>SUM(BB25:BF25)/'Neighborhood Inputs'!$F$28</f>
        <v>35.354425812194037</v>
      </c>
      <c r="BH25" s="1">
        <v>35</v>
      </c>
      <c r="BI25" s="21" t="s">
        <v>90</v>
      </c>
      <c r="BJ25" s="16">
        <f>SUMIFS(BJ4:BJ17,$F$4:$F$17,"x")</f>
        <v>0</v>
      </c>
      <c r="BK25" s="16">
        <f>SUMIFS(BK4:BK17,$F$4:$F$17,"x")</f>
        <v>0</v>
      </c>
      <c r="BL25" s="16">
        <f>SUMIFS(BL4:BL17,$F$4:$F$17,"x")</f>
        <v>0</v>
      </c>
      <c r="BM25" s="16">
        <f>SUMIFS(BM4:BM17,$F$4:$F$17,"x")</f>
        <v>0</v>
      </c>
      <c r="BN25" s="16">
        <f>SUMIFS(BN4:BN17,$F$4:$F$17,"x")</f>
        <v>0</v>
      </c>
      <c r="BO25" s="71">
        <f>SUM(BJ25:BN25)/'Neighborhood Inputs'!$D$28</f>
        <v>0</v>
      </c>
      <c r="BQ25" s="21" t="s">
        <v>90</v>
      </c>
      <c r="BR25" s="16">
        <f>SUMIFS(BR4:BR17,$F$4:$F$17,"x")</f>
        <v>0</v>
      </c>
      <c r="BS25" s="16">
        <f>SUMIFS(BS4:BS17,$F$4:$F$17,"x")</f>
        <v>0</v>
      </c>
      <c r="BT25" s="16">
        <f>SUMIFS(BT5:BT18,$E$4:$E$17,"x")</f>
        <v>0</v>
      </c>
      <c r="BU25" s="16">
        <f>SUMIFS(BU4:BU17,$F$4:$F$17,"x")</f>
        <v>0</v>
      </c>
      <c r="BV25" s="16">
        <f>SUMIFS(BV4:BV17,$F$4:$F$17,"x")</f>
        <v>0</v>
      </c>
      <c r="BW25" s="71" t="e">
        <f>SUM(BR25:BV25)/'Neighborhood Inputs'!#REF!</f>
        <v>#REF!</v>
      </c>
      <c r="BY25" s="21" t="s">
        <v>90</v>
      </c>
      <c r="BZ25" s="16">
        <f>SUMIFS(BZ4:BZ17,$F$4:$F$17,"x")</f>
        <v>0</v>
      </c>
      <c r="CA25" s="16">
        <f>SUMIFS(CA4:CA17,$F$4:$F$17,"x")</f>
        <v>0</v>
      </c>
      <c r="CB25" s="16">
        <f>SUMIFS(CB5:CB18,$E$4:$E$17,"x")</f>
        <v>0</v>
      </c>
      <c r="CC25" s="16">
        <f>SUMIFS(CC4:CC17,$F$4:$F$17,"x")</f>
        <v>0</v>
      </c>
      <c r="CD25" s="16">
        <f>SUMIFS(CD4:CD17,$F$4:$F$17,"x")</f>
        <v>0</v>
      </c>
      <c r="CE25" s="71" t="e">
        <f>SUM(BZ25:CD25)/'Neighborhood Inputs'!#REF!</f>
        <v>#REF!</v>
      </c>
    </row>
    <row r="26" spans="2:83" x14ac:dyDescent="0.3">
      <c r="B26" s="21" t="s">
        <v>91</v>
      </c>
      <c r="C26" s="69">
        <f t="shared" ref="C26:F31" ca="1" si="1">OFFSET($M26,0,(6+8*C$22))</f>
        <v>10.782312528064661</v>
      </c>
      <c r="D26" s="69">
        <f t="shared" ca="1" si="1"/>
        <v>4.7589897052241188</v>
      </c>
      <c r="E26" s="69">
        <f t="shared" ca="1" si="1"/>
        <v>6.7692042765061116</v>
      </c>
      <c r="F26" s="69">
        <f t="shared" ca="1" si="1"/>
        <v>2.4356309336928597</v>
      </c>
      <c r="G26" s="69">
        <f t="shared" ca="1" si="0"/>
        <v>0</v>
      </c>
      <c r="H26" s="69">
        <f t="shared" ca="1" si="0"/>
        <v>5.6592617712505566</v>
      </c>
      <c r="I26" s="69">
        <f t="shared" ca="1" si="0"/>
        <v>0</v>
      </c>
      <c r="J26" s="69" t="e">
        <f t="shared" ca="1" si="0"/>
        <v>#REF!</v>
      </c>
      <c r="K26" s="69" t="e">
        <f t="shared" ca="1" si="0"/>
        <v>#REF!</v>
      </c>
      <c r="M26" s="21" t="s">
        <v>91</v>
      </c>
      <c r="N26" s="16">
        <f>SUMIFS(N4:N17,$G$4:$G$17,"x")</f>
        <v>48024.42</v>
      </c>
      <c r="O26" s="16">
        <f>SUMIFS(O4:O17,$G$4:$G$17,"x")</f>
        <v>0</v>
      </c>
      <c r="P26" s="16">
        <f>SUMIFS(P4:P17,$G$4:$G$17,"x")</f>
        <v>0</v>
      </c>
      <c r="Q26" s="16">
        <f>SUMIFS(Q4:Q17,$G$4:$G$17,"x")</f>
        <v>0</v>
      </c>
      <c r="R26" s="16">
        <f>SUMIFS(R4:R17,$G$4:$G$17,"x")</f>
        <v>0</v>
      </c>
      <c r="S26" s="71">
        <f>SUM(N26:R26)/'Neighborhood Inputs'!$E$28</f>
        <v>10.782312528064661</v>
      </c>
      <c r="T26" s="20">
        <v>36</v>
      </c>
      <c r="U26" s="21" t="s">
        <v>91</v>
      </c>
      <c r="V26" s="16">
        <f>SUMIFS(V4:V17,$G$4:$G$17,"x")</f>
        <v>148851.68</v>
      </c>
      <c r="W26" s="16">
        <f>SUMIFS(W4:W17,$G$4:$G$17,"x")</f>
        <v>0</v>
      </c>
      <c r="X26" s="16">
        <f>SUMIFS(X4:X17,$G$4:$G$17,"x")</f>
        <v>0</v>
      </c>
      <c r="Y26" s="16">
        <f>SUMIFS(Y4:Y17,$G$4:$G$17,"x")</f>
        <v>0</v>
      </c>
      <c r="Z26" s="16">
        <f>SUMIFS(Z4:Z17,$G$4:$G$17,"x")</f>
        <v>0</v>
      </c>
      <c r="AA26" s="71">
        <f>SUM(V26:Z26)/'Neighborhood Inputs'!$G$28</f>
        <v>4.7589897052241188</v>
      </c>
      <c r="AB26" s="178">
        <v>0.08</v>
      </c>
      <c r="AC26" s="21" t="s">
        <v>91</v>
      </c>
      <c r="AD26" s="16">
        <f>SUMIFS(AD4:AD17,$G$4:$G$17,"x")</f>
        <v>276345.86</v>
      </c>
      <c r="AE26" s="16">
        <f>SUMIFS(AE4:AE17,$G$4:$G$17,"x")</f>
        <v>0</v>
      </c>
      <c r="AF26" s="16">
        <f>SUMIFS(AF4:AF17,$G$4:$G$17,"x")</f>
        <v>0</v>
      </c>
      <c r="AG26" s="16">
        <f>SUMIFS(AG4:AG17,$G$4:$G$17,"x")</f>
        <v>0</v>
      </c>
      <c r="AH26" s="16">
        <f>SUMIFS(AH4:AH17,$G$4:$G$17,"x")</f>
        <v>0</v>
      </c>
      <c r="AI26" s="71">
        <f>SUM(AD26:AH26)/'Neighborhood Inputs'!$H$28</f>
        <v>6.7692042765061116</v>
      </c>
      <c r="AJ26" s="185">
        <v>30</v>
      </c>
      <c r="AK26" s="21" t="s">
        <v>91</v>
      </c>
      <c r="AL26" s="16">
        <f>SUMIFS(AL4:AL17,$G$4:$G$17,"x")</f>
        <v>103768.01</v>
      </c>
      <c r="AM26" s="16">
        <f>SUMIFS(AM4:AM17,$G$4:$G$17,"x")</f>
        <v>0</v>
      </c>
      <c r="AN26" s="16">
        <f>SUMIFS(AN4:AN17,$G$4:$G$17,"x")</f>
        <v>0</v>
      </c>
      <c r="AO26" s="16">
        <f>SUMIFS(AO4:AO17,$G$4:$G$17,"x")</f>
        <v>0</v>
      </c>
      <c r="AP26" s="16">
        <f>SUMIFS(AP4:AP17,$G$4:$G$17,"x")</f>
        <v>0</v>
      </c>
      <c r="AQ26" s="71">
        <f>SUM(AL26:AP26)/'Neighborhood Inputs'!$I$28</f>
        <v>2.4356309336928597</v>
      </c>
      <c r="AS26" s="21" t="s">
        <v>91</v>
      </c>
      <c r="AT26" s="16">
        <f>SUMIFS(AT4:AT17,$G$4:$G$17,"x")</f>
        <v>0</v>
      </c>
      <c r="AU26" s="16">
        <f>SUMIFS(AU4:AU17,$G$4:$G$17,"x")</f>
        <v>0</v>
      </c>
      <c r="AV26" s="16">
        <f>SUMIFS(AV4:AV17,$G$4:$G$17,"x")</f>
        <v>0</v>
      </c>
      <c r="AW26" s="16">
        <f>SUMIFS(AW4:AW17,$G$4:$G$17,"x")</f>
        <v>0</v>
      </c>
      <c r="AX26" s="16">
        <f>SUMIFS(AX4:AX17,$G$4:$G$17,"x")</f>
        <v>0</v>
      </c>
      <c r="AY26" s="71">
        <f>SUM(AT26:AX26)/'Neighborhood Inputs'!$J$28</f>
        <v>0</v>
      </c>
      <c r="AZ26" s="185"/>
      <c r="BA26" s="21" t="s">
        <v>91</v>
      </c>
      <c r="BB26" s="16">
        <f>SUMIFS(BB4:BB17,$G$4:$G$17,"x")</f>
        <v>317909.03000000003</v>
      </c>
      <c r="BC26" s="16">
        <f>SUMIFS(BC4:BC17,$G$4:$G$17,"x")</f>
        <v>0</v>
      </c>
      <c r="BD26" s="16">
        <f>SUMIFS(BD4:BD17,$G$4:$G$17,"x")</f>
        <v>0</v>
      </c>
      <c r="BE26" s="16">
        <f>SUMIFS(BE4:BE17,$G$4:$G$17,"x")</f>
        <v>0</v>
      </c>
      <c r="BF26" s="16">
        <f>SUMIFS(BF4:BF17,$G$4:$G$17,"x")</f>
        <v>0</v>
      </c>
      <c r="BG26" s="71">
        <f>SUM(BB26:BF26)/'Neighborhood Inputs'!$F$28</f>
        <v>5.6592617712505566</v>
      </c>
      <c r="BH26" s="185">
        <v>25</v>
      </c>
      <c r="BI26" s="21" t="s">
        <v>91</v>
      </c>
      <c r="BJ26" s="16">
        <f>SUMIFS(BJ4:BJ17,$G$4:$G$17,"x")</f>
        <v>0</v>
      </c>
      <c r="BK26" s="16">
        <f>SUMIFS(BK4:BK17,$G$4:$G$17,"x")</f>
        <v>0</v>
      </c>
      <c r="BL26" s="16">
        <f>SUMIFS(BL4:BL17,$G$4:$G$17,"x")</f>
        <v>0</v>
      </c>
      <c r="BM26" s="16">
        <f>SUMIFS(BM4:BM17,$G$4:$G$17,"x")</f>
        <v>0</v>
      </c>
      <c r="BN26" s="16">
        <f>SUMIFS(BN4:BN17,$G$4:$G$17,"x")</f>
        <v>0</v>
      </c>
      <c r="BO26" s="71">
        <f>SUM(BJ26:BN26)/'Neighborhood Inputs'!$D$28</f>
        <v>0</v>
      </c>
      <c r="BQ26" s="21" t="s">
        <v>91</v>
      </c>
      <c r="BR26" s="16">
        <f>SUMIFS(BR4:BR17,$G$4:$G$17,"x")</f>
        <v>0</v>
      </c>
      <c r="BS26" s="16">
        <f>SUMIFS(BS4:BS17,$G$4:$G$17,"x")</f>
        <v>0</v>
      </c>
      <c r="BT26" s="16">
        <f>SUMIFS(BT4:BT17,$G$4:$G$17,"x")</f>
        <v>0</v>
      </c>
      <c r="BU26" s="16">
        <f>SUMIFS(BU4:BU17,$G$4:$G$17,"x")</f>
        <v>0</v>
      </c>
      <c r="BV26" s="16">
        <f>SUMIFS(BV4:BV17,$G$4:$G$17,"x")</f>
        <v>0</v>
      </c>
      <c r="BW26" s="71" t="e">
        <f>SUM(BR26:BV26)/'Neighborhood Inputs'!#REF!</f>
        <v>#REF!</v>
      </c>
      <c r="BY26" s="21" t="s">
        <v>91</v>
      </c>
      <c r="BZ26" s="16">
        <f>SUMIFS(BZ4:BZ17,$G$4:$G$17,"x")</f>
        <v>0</v>
      </c>
      <c r="CA26" s="16">
        <f>SUMIFS(CA4:CA17,$G$4:$G$17,"x")</f>
        <v>0</v>
      </c>
      <c r="CB26" s="16">
        <f>SUMIFS(CB4:CB17,$G$4:$G$17,"x")</f>
        <v>0</v>
      </c>
      <c r="CC26" s="16">
        <f>SUMIFS(CC4:CC17,$G$4:$G$17,"x")</f>
        <v>0</v>
      </c>
      <c r="CD26" s="16">
        <f>SUMIFS(CD4:CD17,$G$4:$G$17,"x")</f>
        <v>0</v>
      </c>
      <c r="CE26" s="71" t="e">
        <f>SUM(BZ26:CD26)/'Neighborhood Inputs'!#REF!</f>
        <v>#REF!</v>
      </c>
    </row>
    <row r="27" spans="2:83" x14ac:dyDescent="0.3">
      <c r="B27" s="21" t="s">
        <v>103</v>
      </c>
      <c r="C27" s="69">
        <f t="shared" ca="1" si="1"/>
        <v>3.5024696901661431E-4</v>
      </c>
      <c r="D27" s="69">
        <f t="shared" ca="1" si="1"/>
        <v>7.4333397276040672E-4</v>
      </c>
      <c r="E27" s="69">
        <f t="shared" ca="1" si="1"/>
        <v>8.0607035374796864E-3</v>
      </c>
      <c r="F27" s="69">
        <f t="shared" ca="1" si="1"/>
        <v>5.0858883263981735E-3</v>
      </c>
      <c r="G27" s="69">
        <f t="shared" ca="1" si="0"/>
        <v>5.9950226646520311E-4</v>
      </c>
      <c r="H27" s="69">
        <f t="shared" ca="1" si="0"/>
        <v>5.4668446817979525E-4</v>
      </c>
      <c r="I27" s="69">
        <f t="shared" ca="1" si="0"/>
        <v>0</v>
      </c>
      <c r="J27" s="69" t="e">
        <f t="shared" ca="1" si="0"/>
        <v>#REF!</v>
      </c>
      <c r="K27" s="69" t="e">
        <f t="shared" ca="1" si="0"/>
        <v>#REF!</v>
      </c>
      <c r="M27" s="21" t="s">
        <v>103</v>
      </c>
      <c r="N27" s="16">
        <f>SUMIFS(N4:N17,$H$4:$H$17,"x")</f>
        <v>1.56</v>
      </c>
      <c r="O27" s="16">
        <f>SUMIFS(O4:O17,$H$4:$H$17,"x")</f>
        <v>0</v>
      </c>
      <c r="P27" s="16">
        <f>SUMIFS(P4:P17,$H$4:$H$17,"x")</f>
        <v>0</v>
      </c>
      <c r="Q27" s="16">
        <f>SUMIFS(Q4:Q17,$H$4:$H$17,"x")</f>
        <v>0</v>
      </c>
      <c r="R27" s="16">
        <f>SUMIFS(R4:R17,$H$4:$H$17,"x")</f>
        <v>0</v>
      </c>
      <c r="S27" s="71">
        <f>SUM(N27:R27)/'Neighborhood Inputs'!$E$28</f>
        <v>3.5024696901661431E-4</v>
      </c>
      <c r="T27" s="1"/>
      <c r="U27" s="21" t="s">
        <v>103</v>
      </c>
      <c r="V27" s="16">
        <f>SUMIFS(V4:V17,$H$4:$H$17,"x")</f>
        <v>23.25</v>
      </c>
      <c r="W27" s="16">
        <f>SUMIFS(W4:W17,$H$4:$H$17,"x")</f>
        <v>0</v>
      </c>
      <c r="X27" s="16">
        <f>SUMIFS(X4:X17,$H$4:$H$17,"x")</f>
        <v>0</v>
      </c>
      <c r="Y27" s="16">
        <f>SUMIFS(Y4:Y17,$H$4:$H$17,"x")</f>
        <v>0</v>
      </c>
      <c r="Z27" s="16">
        <f>SUMIFS(Z4:Z17,$H$4:$H$17,"x")</f>
        <v>0</v>
      </c>
      <c r="AA27" s="71">
        <f>SUM(V27:Z27)/'Neighborhood Inputs'!$G$28</f>
        <v>7.4333397276040672E-4</v>
      </c>
      <c r="AB27" s="178">
        <v>0</v>
      </c>
      <c r="AC27" s="21" t="s">
        <v>103</v>
      </c>
      <c r="AD27" s="16">
        <f>SUMIFS(AD4:AD17,$H$4:$H$17,"x")</f>
        <v>329.07</v>
      </c>
      <c r="AE27" s="16">
        <f>SUMIFS(AE4:AE17,$H$4:$H$17,"x")</f>
        <v>0</v>
      </c>
      <c r="AF27" s="16">
        <f>SUMIFS(AF4:AF17,$H$4:$H$17,"x")</f>
        <v>0</v>
      </c>
      <c r="AG27" s="16">
        <f>SUMIFS(AG4:AG17,$H$4:$H$17,"x")</f>
        <v>0</v>
      </c>
      <c r="AH27" s="16">
        <f>SUMIFS(AH4:AH17,$H$4:$H$17,"x")</f>
        <v>0</v>
      </c>
      <c r="AI27" s="71">
        <f>SUM(AD27:AH27)/'Neighborhood Inputs'!$H$28</f>
        <v>8.0607035374796864E-3</v>
      </c>
      <c r="AJ27" s="1"/>
      <c r="AK27" s="21" t="s">
        <v>103</v>
      </c>
      <c r="AL27" s="16">
        <f>SUMIFS(AL4:AL17,$H$4:$H$17,"x")</f>
        <v>216.68</v>
      </c>
      <c r="AM27" s="16">
        <f>SUMIFS(AM4:AM17,$H$4:$H$17,"x")</f>
        <v>0</v>
      </c>
      <c r="AN27" s="16">
        <f>SUMIFS(AN4:AN17,$H$4:$H$17,"x")</f>
        <v>0</v>
      </c>
      <c r="AO27" s="16">
        <f>SUMIFS(AO4:AO17,$H$4:$H$17,"x")</f>
        <v>0</v>
      </c>
      <c r="AP27" s="16">
        <f>SUMIFS(AP4:AP17,$H$4:$H$17,"x")</f>
        <v>0</v>
      </c>
      <c r="AQ27" s="71">
        <f>SUM(AL27:AP27)/'Neighborhood Inputs'!$I$28</f>
        <v>5.0858883263981735E-3</v>
      </c>
      <c r="AS27" s="21" t="s">
        <v>103</v>
      </c>
      <c r="AT27" s="16">
        <f>SUMIFS(AT4:AT17,$H$4:$H$17,"x")</f>
        <v>40.47</v>
      </c>
      <c r="AU27" s="16">
        <f>SUMIFS(AU4:AU17,$H$4:$H$17,"x")</f>
        <v>0</v>
      </c>
      <c r="AV27" s="16">
        <f>SUMIFS(AV4:AV17,$H$4:$H$17,"x")</f>
        <v>0</v>
      </c>
      <c r="AW27" s="16">
        <f>SUMIFS(AW4:AW17,$H$4:$H$17,"x")</f>
        <v>0</v>
      </c>
      <c r="AX27" s="16">
        <f>SUMIFS(AX4:AX17,$H$4:$H$17,"x")</f>
        <v>0</v>
      </c>
      <c r="AY27" s="71">
        <f>SUM(AT27:AX27)/'Neighborhood Inputs'!$J$28</f>
        <v>5.9950226646520311E-4</v>
      </c>
      <c r="BA27" s="21" t="s">
        <v>103</v>
      </c>
      <c r="BB27" s="16">
        <f>SUMIFS(BB4:BB17,$H$4:$H$17,"x")</f>
        <v>30.71</v>
      </c>
      <c r="BC27" s="16">
        <f>SUMIFS(BC4:BC17,$H$4:$H$17,"x")</f>
        <v>0</v>
      </c>
      <c r="BD27" s="16">
        <f>SUMIFS(BD4:BD17,$H$4:$H$17,"x")</f>
        <v>0</v>
      </c>
      <c r="BE27" s="16">
        <f>SUMIFS(BE4:BE17,$H$4:$H$17,"x")</f>
        <v>0</v>
      </c>
      <c r="BF27" s="16">
        <f>SUMIFS(BF4:BF17,$H$4:$H$17,"x")</f>
        <v>0</v>
      </c>
      <c r="BG27" s="71">
        <f>SUM(BB27:BF27)/'Neighborhood Inputs'!$F$28</f>
        <v>5.4668446817979525E-4</v>
      </c>
      <c r="BH27" s="1"/>
      <c r="BI27" s="21" t="s">
        <v>103</v>
      </c>
      <c r="BJ27" s="16">
        <f>SUMIFS(BJ4:BJ17,$H$4:$H$17,"x")</f>
        <v>0</v>
      </c>
      <c r="BK27" s="16">
        <f>SUMIFS(BK4:BK17,$H$4:$H$17,"x")</f>
        <v>0</v>
      </c>
      <c r="BL27" s="16">
        <f>SUMIFS(BL4:BL17,$H$4:$H$17,"x")</f>
        <v>0</v>
      </c>
      <c r="BM27" s="16">
        <f>SUMIFS(BM4:BM17,$H$4:$H$17,"x")</f>
        <v>0</v>
      </c>
      <c r="BN27" s="16">
        <f>SUMIFS(BN4:BN17,$H$4:$H$17,"x")</f>
        <v>0</v>
      </c>
      <c r="BO27" s="71">
        <f>SUM(BJ27:BN27)/'Neighborhood Inputs'!$D$28</f>
        <v>0</v>
      </c>
      <c r="BQ27" s="21" t="s">
        <v>103</v>
      </c>
      <c r="BR27" s="16">
        <f>SUMIFS(BR4:BR17,$H$4:$H$17,"x")</f>
        <v>0</v>
      </c>
      <c r="BS27" s="16">
        <f>SUMIFS(BS4:BS17,$H$4:$H$17,"x")</f>
        <v>0</v>
      </c>
      <c r="BT27" s="16">
        <f>SUMIFS(BT4:BT17,$H$4:$H$17,"x")</f>
        <v>0</v>
      </c>
      <c r="BU27" s="16">
        <f>SUMIFS(BU4:BU17,$H$4:$H$17,"x")</f>
        <v>0</v>
      </c>
      <c r="BV27" s="16">
        <f>SUMIFS(BV4:BV17,$H$4:$H$17,"x")</f>
        <v>0</v>
      </c>
      <c r="BW27" s="71" t="e">
        <f>SUM(BR27:BV27)/'Neighborhood Inputs'!#REF!</f>
        <v>#REF!</v>
      </c>
      <c r="BY27" s="21" t="s">
        <v>103</v>
      </c>
      <c r="BZ27" s="16">
        <f>SUMIFS(BZ4:BZ17,$H$4:$H$17,"x")</f>
        <v>0</v>
      </c>
      <c r="CA27" s="16">
        <f>SUMIFS(CA4:CA17,$H$4:$H$17,"x")</f>
        <v>0</v>
      </c>
      <c r="CB27" s="16">
        <f>SUMIFS(CB4:CB17,$H$4:$H$17,"x")</f>
        <v>0</v>
      </c>
      <c r="CC27" s="16">
        <f>SUMIFS(CC4:CC17,$H$4:$H$17,"x")</f>
        <v>0</v>
      </c>
      <c r="CD27" s="16">
        <f>SUMIFS(CD4:CD17,$H$4:$H$17,"x")</f>
        <v>0</v>
      </c>
      <c r="CE27" s="71" t="e">
        <f>SUM(BZ27:CD27)/'Neighborhood Inputs'!#REF!</f>
        <v>#REF!</v>
      </c>
    </row>
    <row r="28" spans="2:83" x14ac:dyDescent="0.3">
      <c r="B28" s="21" t="s">
        <v>102</v>
      </c>
      <c r="C28" s="69">
        <f t="shared" ca="1" si="1"/>
        <v>8.4998944768747187</v>
      </c>
      <c r="D28" s="69">
        <f t="shared" ca="1" si="1"/>
        <v>3.0477786303472088</v>
      </c>
      <c r="E28" s="69">
        <f t="shared" ca="1" si="1"/>
        <v>8.9289209430339724</v>
      </c>
      <c r="F28" s="69">
        <f t="shared" ca="1" si="1"/>
        <v>19.312965682224458</v>
      </c>
      <c r="G28" s="69">
        <f t="shared" ca="1" si="0"/>
        <v>17.032772494296804</v>
      </c>
      <c r="H28" s="69">
        <f t="shared" ca="1" si="0"/>
        <v>3.5171617267467736</v>
      </c>
      <c r="I28" s="69">
        <f t="shared" ca="1" si="0"/>
        <v>0</v>
      </c>
      <c r="J28" s="69" t="e">
        <f t="shared" ca="1" si="0"/>
        <v>#REF!</v>
      </c>
      <c r="K28" s="69" t="e">
        <f t="shared" ca="1" si="0"/>
        <v>#REF!</v>
      </c>
      <c r="M28" s="21" t="s">
        <v>102</v>
      </c>
      <c r="N28" s="16">
        <f>SUMIFS(N4:N17,$I$4:$I$17,"x")</f>
        <v>37858.53</v>
      </c>
      <c r="O28" s="16">
        <f>SUMIFS(O4:O17,$I$4:$I$17,"x")</f>
        <v>0</v>
      </c>
      <c r="P28" s="16">
        <f>SUMIFS(P4:P17,$I$4:$I$17,"x")</f>
        <v>0</v>
      </c>
      <c r="Q28" s="16">
        <f>SUMIFS(Q4:Q17,$I$4:$I$17,"x")</f>
        <v>0</v>
      </c>
      <c r="R28" s="16">
        <f>SUMIFS(R4:R17,$I$4:$I$17,"x")</f>
        <v>0</v>
      </c>
      <c r="S28" s="71">
        <f>SUM(N28:R28)/'Neighborhood Inputs'!$E$28</f>
        <v>8.4998944768747187</v>
      </c>
      <c r="T28" s="1"/>
      <c r="U28" s="21" t="s">
        <v>102</v>
      </c>
      <c r="V28" s="16">
        <f>SUMIFS(V4:V17,$I$4:$I$17,"x")</f>
        <v>95328.42</v>
      </c>
      <c r="W28" s="16">
        <f>SUMIFS(W4:W17,$I$4:$I$17,"x")</f>
        <v>0</v>
      </c>
      <c r="X28" s="16">
        <f>SUMIFS(X4:X17,$I$4:$I$17,"x")</f>
        <v>0</v>
      </c>
      <c r="Y28" s="16">
        <f>SUMIFS(Y4:Y17,$I$4:$I$17,"x")</f>
        <v>0</v>
      </c>
      <c r="Z28" s="16">
        <f>SUMIFS(Z4:Z17,$I$4:$I$17,"x")</f>
        <v>0</v>
      </c>
      <c r="AA28" s="71">
        <f>SUM(V28:Z28)/'Neighborhood Inputs'!$G$28</f>
        <v>3.0477786303472088</v>
      </c>
      <c r="AB28" s="178">
        <v>0.02</v>
      </c>
      <c r="AC28" s="21" t="s">
        <v>102</v>
      </c>
      <c r="AD28" s="16">
        <f>SUMIFS(AD4:AD17,$I$4:$I$17,"x")</f>
        <v>364514.09</v>
      </c>
      <c r="AE28" s="16">
        <f>SUMIFS(AE4:AE17,$I$4:$I$17,"x")</f>
        <v>0</v>
      </c>
      <c r="AF28" s="16">
        <f>SUMIFS(AF4:AF17,$I$4:$I$17,"x")</f>
        <v>0</v>
      </c>
      <c r="AG28" s="16">
        <f>SUMIFS(AG4:AG17,$I$4:$I$17,"x")</f>
        <v>0</v>
      </c>
      <c r="AH28" s="16">
        <f>SUMIFS(AH4:AH17,$I$4:$I$17,"x")</f>
        <v>0</v>
      </c>
      <c r="AI28" s="71">
        <f>SUM(AD28:AH28)/'Neighborhood Inputs'!$H$28</f>
        <v>8.9289209430339724</v>
      </c>
      <c r="AK28" s="21" t="s">
        <v>102</v>
      </c>
      <c r="AL28" s="16">
        <f>SUMIFS(AL4:AL17,$I$4:$I$17,"x")</f>
        <v>822812.68</v>
      </c>
      <c r="AM28" s="16">
        <f>SUMIFS(AM4:AM17,$I$4:$I$17,"x")</f>
        <v>0</v>
      </c>
      <c r="AN28" s="16">
        <f>SUMIFS(AN4:AN17,$I$4:$I$17,"x")</f>
        <v>0</v>
      </c>
      <c r="AO28" s="16">
        <f>SUMIFS(AO4:AO17,$I$4:$I$17,"x")</f>
        <v>0</v>
      </c>
      <c r="AP28" s="16">
        <f>SUMIFS(AP4:AP17,$I$4:$I$17,"x")</f>
        <v>0</v>
      </c>
      <c r="AQ28" s="71">
        <f>SUM(AL28:AP28)/'Neighborhood Inputs'!$I$28</f>
        <v>19.312965682224458</v>
      </c>
      <c r="AS28" s="21" t="s">
        <v>102</v>
      </c>
      <c r="AT28" s="16">
        <f>SUMIFS(AT4:AT17,$I$4:$I$17,"x")</f>
        <v>1149814.3400000001</v>
      </c>
      <c r="AU28" s="16">
        <f>SUMIFS(AU4:AU17,$I$4:$I$17,"x")</f>
        <v>0</v>
      </c>
      <c r="AV28" s="16">
        <f>SUMIFS(AV4:AV17,$I$4:$I$17,"x")</f>
        <v>0</v>
      </c>
      <c r="AW28" s="16">
        <f>SUMIFS(AW4:AW17,$I$4:$I$17,"x")</f>
        <v>0</v>
      </c>
      <c r="AX28" s="16">
        <f>SUMIFS(AX4:AX17,$I$4:$I$17,"x")</f>
        <v>0</v>
      </c>
      <c r="AY28" s="71">
        <f>SUM(AT28:AX28)/'Neighborhood Inputs'!$J$28</f>
        <v>17.032772494296804</v>
      </c>
      <c r="BA28" s="21" t="s">
        <v>102</v>
      </c>
      <c r="BB28" s="16">
        <f>SUMIFS(BB4:BB17,$I$4:$I$17,"x")</f>
        <v>197576.56</v>
      </c>
      <c r="BC28" s="16">
        <f>SUMIFS(BC4:BC17,$I$4:$I$17,"x")</f>
        <v>0</v>
      </c>
      <c r="BD28" s="16">
        <f>SUMIFS(BD4:BD17,$I$4:$I$17,"x")</f>
        <v>0</v>
      </c>
      <c r="BE28" s="16">
        <f>SUMIFS(BE4:BE17,$I$4:$I$17,"x")</f>
        <v>0</v>
      </c>
      <c r="BF28" s="16">
        <f>SUMIFS(BF4:BF17,$I$4:$I$17,"x")</f>
        <v>0</v>
      </c>
      <c r="BG28" s="71">
        <f>SUM(BB28:BF28)/'Neighborhood Inputs'!$F$28</f>
        <v>3.5171617267467736</v>
      </c>
      <c r="BH28" s="1"/>
      <c r="BI28" s="21" t="s">
        <v>102</v>
      </c>
      <c r="BJ28" s="16">
        <f>SUMIFS(BJ4:BJ17,$I$4:$I$17,"x")</f>
        <v>0</v>
      </c>
      <c r="BK28" s="16">
        <f>SUMIFS(BK4:BK17,$I$4:$I$17,"x")</f>
        <v>0</v>
      </c>
      <c r="BL28" s="16">
        <f>SUMIFS(BL4:BL17,$I$4:$I$17,"x")</f>
        <v>0</v>
      </c>
      <c r="BM28" s="16">
        <f>SUMIFS(BM4:BM17,$I$4:$I$17,"x")</f>
        <v>0</v>
      </c>
      <c r="BN28" s="16">
        <f>SUMIFS(BN4:BN17,$I$4:$I$17,"x")</f>
        <v>0</v>
      </c>
      <c r="BO28" s="71">
        <f>SUM(BJ28:BN28)/'Neighborhood Inputs'!$D$28</f>
        <v>0</v>
      </c>
      <c r="BQ28" s="21" t="s">
        <v>102</v>
      </c>
      <c r="BR28" s="16">
        <f>SUMIFS(BR4:BR17,$I$4:$I$17,"x")</f>
        <v>0</v>
      </c>
      <c r="BS28" s="16">
        <f>SUMIFS(BS4:BS17,$I$4:$I$17,"x")</f>
        <v>0</v>
      </c>
      <c r="BT28" s="16">
        <f>SUMIFS(BT4:BT17,$I$4:$I$17,"x")</f>
        <v>0</v>
      </c>
      <c r="BU28" s="16">
        <f>SUMIFS(BU4:BU17,$I$4:$I$17,"x")</f>
        <v>0</v>
      </c>
      <c r="BV28" s="16">
        <f>SUMIFS(BV4:BV17,$I$4:$I$17,"x")</f>
        <v>0</v>
      </c>
      <c r="BW28" s="71" t="e">
        <f>SUM(BR28:BV28)/'Neighborhood Inputs'!#REF!</f>
        <v>#REF!</v>
      </c>
      <c r="BY28" s="21" t="s">
        <v>102</v>
      </c>
      <c r="BZ28" s="16">
        <f>SUMIFS(BZ4:BZ17,$I$4:$I$17,"x")</f>
        <v>0</v>
      </c>
      <c r="CA28" s="16">
        <f>SUMIFS(CA4:CA17,$I$4:$I$17,"x")</f>
        <v>0</v>
      </c>
      <c r="CB28" s="16">
        <f>SUMIFS(CB4:CB17,$I$4:$I$17,"x")</f>
        <v>0</v>
      </c>
      <c r="CC28" s="16">
        <f>SUMIFS(CC4:CC17,$I$4:$I$17,"x")</f>
        <v>0</v>
      </c>
      <c r="CD28" s="16">
        <f>SUMIFS(CD4:CD17,$I$4:$I$17,"x")</f>
        <v>0</v>
      </c>
      <c r="CE28" s="71" t="e">
        <f>SUM(BZ28:CD28)/'Neighborhood Inputs'!#REF!</f>
        <v>#REF!</v>
      </c>
    </row>
    <row r="29" spans="2:83" x14ac:dyDescent="0.3">
      <c r="B29" s="21" t="s">
        <v>117</v>
      </c>
      <c r="C29" s="69">
        <f t="shared" ca="1" si="1"/>
        <v>9.1584710372698694</v>
      </c>
      <c r="D29" s="69">
        <f t="shared" ca="1" si="1"/>
        <v>10.188866615512501</v>
      </c>
      <c r="E29" s="69">
        <f t="shared" ca="1" si="1"/>
        <v>11.417891151230233</v>
      </c>
      <c r="F29" s="69">
        <f t="shared" ca="1" si="1"/>
        <v>11.417889473703976</v>
      </c>
      <c r="G29" s="69">
        <f t="shared" ca="1" si="0"/>
        <v>11.417989512043375</v>
      </c>
      <c r="H29" s="69">
        <f t="shared" ca="1" si="0"/>
        <v>5.8465055629728528</v>
      </c>
      <c r="I29" s="69">
        <f t="shared" ca="1" si="0"/>
        <v>0</v>
      </c>
      <c r="J29" s="69" t="e">
        <f t="shared" ca="1" si="0"/>
        <v>#REF!</v>
      </c>
      <c r="K29" s="69" t="e">
        <f t="shared" ca="1" si="0"/>
        <v>#REF!</v>
      </c>
      <c r="M29" s="21" t="s">
        <v>117</v>
      </c>
      <c r="N29" s="16">
        <f>SUMIFS(N4:N17,$J$4:$J$17,"x")</f>
        <v>40791.83</v>
      </c>
      <c r="O29" s="16">
        <f>SUMIFS(O4:O17,$J$4:$J$17,"x")</f>
        <v>0</v>
      </c>
      <c r="P29" s="16">
        <f>SUMIFS(P4:P17,$J$4:$J$17,"x")</f>
        <v>0</v>
      </c>
      <c r="Q29" s="16">
        <f>SUMIFS(Q4:Q17,$J$4:$J$17,"x")</f>
        <v>0</v>
      </c>
      <c r="R29" s="16">
        <f>SUMIFS(R4:R17,$J$4:$J$17,"x")</f>
        <v>0</v>
      </c>
      <c r="S29" s="71">
        <f>SUM(N29:R29)/'Neighborhood Inputs'!$E$28</f>
        <v>9.1584710372698694</v>
      </c>
      <c r="T29" s="1"/>
      <c r="U29" s="21" t="s">
        <v>117</v>
      </c>
      <c r="V29" s="16">
        <f>SUMIFS(V4:V17,$J$4:$J$17,"x")</f>
        <v>318687.37</v>
      </c>
      <c r="W29" s="16">
        <f>SUMIFS(W4:W17,$J$4:$J$17,"x")</f>
        <v>0</v>
      </c>
      <c r="X29" s="16">
        <f>SUMIFS(X4:X17,$J$4:$J$17,"x")</f>
        <v>0</v>
      </c>
      <c r="Y29" s="16">
        <f>SUMIFS(Y4:Y17,$J$4:$J$17,"x")</f>
        <v>0</v>
      </c>
      <c r="Z29" s="16">
        <f>SUMIFS(Z4:Z17,$J$4:$J$17,"x")</f>
        <v>0</v>
      </c>
      <c r="AA29" s="71">
        <f>SUM(V29:Z29)/'Neighborhood Inputs'!$G$28</f>
        <v>10.188866615512501</v>
      </c>
      <c r="AB29" s="178">
        <v>0.36</v>
      </c>
      <c r="AC29" s="21" t="s">
        <v>117</v>
      </c>
      <c r="AD29" s="16">
        <f>SUMIFS(AD4:AD17,$J$4:$J$17,"x")</f>
        <v>466123.76</v>
      </c>
      <c r="AE29" s="16">
        <f>SUMIFS(AE4:AE17,$J$4:$J$17,"x")</f>
        <v>0</v>
      </c>
      <c r="AF29" s="16">
        <f>SUMIFS(AF4:AF17,$J$4:$J$17,"x")</f>
        <v>0</v>
      </c>
      <c r="AG29" s="16">
        <f>SUMIFS(AG4:AG17,$J$4:$J$17,"x")</f>
        <v>0</v>
      </c>
      <c r="AH29" s="16">
        <f>SUMIFS(AH4:AH17,$J$4:$J$17,"x")</f>
        <v>0</v>
      </c>
      <c r="AI29" s="71">
        <f>SUM(AD29:AH29)/'Neighborhood Inputs'!$H$28</f>
        <v>11.417891151230233</v>
      </c>
      <c r="AK29" s="21" t="s">
        <v>117</v>
      </c>
      <c r="AL29" s="16">
        <f>SUMIFS(AL4:AL17,$J$4:$J$17,"x")</f>
        <v>486449.59</v>
      </c>
      <c r="AM29" s="16">
        <f>SUMIFS(AM4:AM17,$J$4:$J$17,"x")</f>
        <v>0</v>
      </c>
      <c r="AN29" s="16">
        <f>SUMIFS(AN4:AN17,$J$4:$J$17,"x")</f>
        <v>0</v>
      </c>
      <c r="AO29" s="16">
        <f>SUMIFS(AO4:AO17,$J$4:$J$17,"x")</f>
        <v>0</v>
      </c>
      <c r="AP29" s="16">
        <f>SUMIFS(AP4:AP17,$J$4:$J$17,"x")</f>
        <v>0</v>
      </c>
      <c r="AQ29" s="71">
        <f>SUM(AL29:AP29)/'Neighborhood Inputs'!$I$28</f>
        <v>11.417889473703976</v>
      </c>
      <c r="AS29" s="21" t="s">
        <v>117</v>
      </c>
      <c r="AT29" s="16">
        <f>SUMIFS(AT4:AT17,$J$4:$J$17,"x")</f>
        <v>770782.8</v>
      </c>
      <c r="AU29" s="16">
        <f>SUMIFS(AU4:AU17,$J$4:$J$17,"x")</f>
        <v>0</v>
      </c>
      <c r="AV29" s="16">
        <f>SUMIFS(AV4:AV17,$J$4:$J$17,"x")</f>
        <v>0</v>
      </c>
      <c r="AW29" s="16">
        <f>SUMIFS(AW4:AW17,$J$4:$J$17,"x")</f>
        <v>0</v>
      </c>
      <c r="AX29" s="16">
        <f>SUMIFS(AX4:AX17,$J$4:$J$17,"x")</f>
        <v>0</v>
      </c>
      <c r="AY29" s="71">
        <f>SUM(AT29:AX29)/'Neighborhood Inputs'!$J$28</f>
        <v>11.417989512043375</v>
      </c>
      <c r="BA29" s="21" t="s">
        <v>117</v>
      </c>
      <c r="BB29" s="16">
        <f>SUMIFS(BB4:BB17,$J$4:$J$17,"x")</f>
        <v>328427.45</v>
      </c>
      <c r="BC29" s="16">
        <f>SUMIFS(BC4:BC17,$J$4:$J$17,"x")</f>
        <v>0</v>
      </c>
      <c r="BD29" s="16">
        <f>SUMIFS(BD4:BD17,$J$4:$J$17,"x")</f>
        <v>0</v>
      </c>
      <c r="BE29" s="16">
        <f>SUMIFS(BE4:BE17,$J$4:$J$17,"x")</f>
        <v>0</v>
      </c>
      <c r="BF29" s="16">
        <f>SUMIFS(BF4:BF17,$J$4:$J$17,"x")</f>
        <v>0</v>
      </c>
      <c r="BG29" s="71">
        <f>SUM(BB29:BF29)/'Neighborhood Inputs'!$F$28</f>
        <v>5.8465055629728528</v>
      </c>
      <c r="BH29" s="1"/>
      <c r="BI29" s="21" t="s">
        <v>117</v>
      </c>
      <c r="BJ29" s="16">
        <f>SUMIFS(BJ4:BJ17,$J$4:$J$17,"x")</f>
        <v>0</v>
      </c>
      <c r="BK29" s="16">
        <f>SUMIFS(BK4:BK17,$J$4:$J$17,"x")</f>
        <v>0</v>
      </c>
      <c r="BL29" s="16">
        <f>SUMIFS(BL4:BL17,$J$4:$J$17,"x")</f>
        <v>0</v>
      </c>
      <c r="BM29" s="16">
        <f>SUMIFS(BM4:BM17,$J$4:$J$17,"x")</f>
        <v>0</v>
      </c>
      <c r="BN29" s="16">
        <f>SUMIFS(BN4:BN17,$J$4:$J$17,"x")</f>
        <v>0</v>
      </c>
      <c r="BO29" s="71">
        <f>SUM(BJ29:BN29)/'Neighborhood Inputs'!$D$28</f>
        <v>0</v>
      </c>
      <c r="BQ29" s="21" t="s">
        <v>117</v>
      </c>
      <c r="BR29" s="16">
        <f>SUMIFS(BR4:BR17,$J$4:$J$17,"x")</f>
        <v>0</v>
      </c>
      <c r="BS29" s="16">
        <f>SUMIFS(BS4:BS17,$J$4:$J$17,"x")</f>
        <v>0</v>
      </c>
      <c r="BT29" s="16">
        <f>SUMIFS(BT4:BT17,$J$4:$J$17,"x")</f>
        <v>0</v>
      </c>
      <c r="BU29" s="16">
        <f>SUMIFS(BU4:BU17,$J$4:$J$17,"x")</f>
        <v>0</v>
      </c>
      <c r="BV29" s="16">
        <f>SUMIFS(BV4:BV17,$J$4:$J$17,"x")</f>
        <v>0</v>
      </c>
      <c r="BW29" s="71" t="e">
        <f>SUM(BR29:BV29)/'Neighborhood Inputs'!#REF!</f>
        <v>#REF!</v>
      </c>
      <c r="BY29" s="21" t="s">
        <v>117</v>
      </c>
      <c r="BZ29" s="16">
        <f>SUMIFS(BZ4:BZ17,$J$4:$J$17,"x")</f>
        <v>0</v>
      </c>
      <c r="CA29" s="16">
        <f>SUMIFS(CA4:CA17,$J$4:$J$17,"x")</f>
        <v>0</v>
      </c>
      <c r="CB29" s="16">
        <f>SUMIFS(CB4:CB17,$J$4:$J$17,"x")</f>
        <v>0</v>
      </c>
      <c r="CC29" s="16">
        <f>SUMIFS(CC4:CC17,$J$4:$J$17,"x")</f>
        <v>0</v>
      </c>
      <c r="CD29" s="16">
        <f>SUMIFS(CD4:CD17,$J$4:$J$17,"x")</f>
        <v>0</v>
      </c>
      <c r="CE29" s="71" t="e">
        <f>SUM(BZ29:CD29)/'Neighborhood Inputs'!#REF!</f>
        <v>#REF!</v>
      </c>
    </row>
    <row r="30" spans="2:83" x14ac:dyDescent="0.3">
      <c r="B30" s="21" t="s">
        <v>95</v>
      </c>
      <c r="C30" s="69">
        <f t="shared" ca="1" si="1"/>
        <v>2.9053457566232601</v>
      </c>
      <c r="D30" s="69">
        <f t="shared" ca="1" si="1"/>
        <v>5.1940974486859774</v>
      </c>
      <c r="E30" s="69">
        <f t="shared" ca="1" si="1"/>
        <v>4.9974394951202692</v>
      </c>
      <c r="F30" s="69">
        <f t="shared" ca="1" si="1"/>
        <v>5.00430427451216</v>
      </c>
      <c r="G30" s="69">
        <f t="shared" ca="1" si="0"/>
        <v>4.9726585784967261</v>
      </c>
      <c r="H30" s="69">
        <f t="shared" ca="1" si="0"/>
        <v>3.8433457943925236</v>
      </c>
      <c r="I30" s="69">
        <f t="shared" ca="1" si="0"/>
        <v>0</v>
      </c>
      <c r="J30" s="69" t="e">
        <f t="shared" ca="1" si="0"/>
        <v>#REF!</v>
      </c>
      <c r="K30" s="69" t="e">
        <f t="shared" ca="1" si="0"/>
        <v>#REF!</v>
      </c>
      <c r="M30" s="21" t="s">
        <v>95</v>
      </c>
      <c r="N30" s="16">
        <f>SUMIFS(N4:N17,$K$4:$K$17,"x")</f>
        <v>0</v>
      </c>
      <c r="O30" s="16">
        <f>SUMIFS(O4:O17,$K$4:$K$17,"x")</f>
        <v>12940.41</v>
      </c>
      <c r="P30" s="16">
        <f>SUMIFS(P4:P17,$K$4:$K$17,"x")</f>
        <v>0</v>
      </c>
      <c r="Q30" s="16">
        <f>SUMIFS(Q4:Q17,$K$4:$K$17,"x")</f>
        <v>0</v>
      </c>
      <c r="R30" s="16">
        <f>SUMIFS(R4:R17,$K$4:$K$17,"x")</f>
        <v>0</v>
      </c>
      <c r="S30" s="177">
        <f>SUM(N30:R30)/'Neighborhood Inputs'!$E$28</f>
        <v>2.9053457566232601</v>
      </c>
      <c r="T30" s="20"/>
      <c r="U30" s="21" t="s">
        <v>95</v>
      </c>
      <c r="V30" s="16">
        <f>SUMIFS(V4:V17,$K$4:$K$17,"x")</f>
        <v>0</v>
      </c>
      <c r="W30" s="16">
        <f>SUMIFS(W4:W17,$K$4:$K$17,"x")</f>
        <v>162460.98000000001</v>
      </c>
      <c r="X30" s="16">
        <f>SUMIFS(X4:X17,$K$4:$K$17,"x")</f>
        <v>0</v>
      </c>
      <c r="Y30" s="16">
        <f>SUMIFS(Y4:Y17,$K$4:$K$17,"x")</f>
        <v>0</v>
      </c>
      <c r="Z30" s="16">
        <f>SUMIFS(Z4:Z17,$K$4:$K$17,"x")</f>
        <v>0</v>
      </c>
      <c r="AA30" s="71">
        <f>SUM(V30:Z30)/'Neighborhood Inputs'!$G$28</f>
        <v>5.1940974486859774</v>
      </c>
      <c r="AB30" s="178">
        <v>0.03</v>
      </c>
      <c r="AC30" s="21" t="s">
        <v>95</v>
      </c>
      <c r="AD30" s="16">
        <f>SUMIFS(AD4:AD17,$K$4:$K$17,"x")</f>
        <v>0</v>
      </c>
      <c r="AE30" s="16">
        <f>SUMIFS(AE4:AE17,$K$4:$K$17,"x")</f>
        <v>204015.37</v>
      </c>
      <c r="AF30" s="16">
        <f>SUMIFS(AF4:AF17,$K$4:$K$17,"x")</f>
        <v>0</v>
      </c>
      <c r="AG30" s="16">
        <f>SUMIFS(AG4:AG17,$K$4:$K$17,"x")</f>
        <v>0</v>
      </c>
      <c r="AH30" s="16">
        <f>SUMIFS(AH4:AH17,$K$4:$K$17,"x")</f>
        <v>0</v>
      </c>
      <c r="AI30" s="71">
        <f>SUM(AD30:AH30)/'Neighborhood Inputs'!$H$28</f>
        <v>4.9974394951202692</v>
      </c>
      <c r="AK30" s="21" t="s">
        <v>95</v>
      </c>
      <c r="AL30" s="16">
        <f>SUMIFS(AL4:AL17,$K$4:$K$17,"x")</f>
        <v>0</v>
      </c>
      <c r="AM30" s="16">
        <f>SUMIFS(AM4:AM17,$K$4:$K$17,"x")</f>
        <v>213204.18</v>
      </c>
      <c r="AN30" s="16">
        <f>SUMIFS(AN4:AN17,$K$4:$K$17,"x")</f>
        <v>0</v>
      </c>
      <c r="AO30" s="16">
        <f>SUMIFS(AO4:AO17,$K$4:$K$17,"x")</f>
        <v>0</v>
      </c>
      <c r="AP30" s="16">
        <f>SUMIFS(AP4:AP17,$K$4:$K$17,"x")</f>
        <v>0</v>
      </c>
      <c r="AQ30" s="71">
        <f>SUM(AL30:AP30)/'Neighborhood Inputs'!$I$28</f>
        <v>5.00430427451216</v>
      </c>
      <c r="AS30" s="21" t="s">
        <v>95</v>
      </c>
      <c r="AT30" s="16">
        <f>SUMIFS(AT4:AT17,$K$4:$K$17,"x")</f>
        <v>0</v>
      </c>
      <c r="AU30" s="16">
        <f>SUMIFS(AU4:AU17,$K$4:$K$17,"x")</f>
        <v>335684.29</v>
      </c>
      <c r="AV30" s="16">
        <f>SUMIFS(AV4:AV17,$K$4:$K$17,"x")</f>
        <v>0</v>
      </c>
      <c r="AW30" s="16">
        <f>SUMIFS(AW4:AW17,$K$4:$K$17,"x")</f>
        <v>0</v>
      </c>
      <c r="AX30" s="16">
        <f>SUMIFS(AX4:AX17,$K$4:$K$17,"x")</f>
        <v>0</v>
      </c>
      <c r="AY30" s="71">
        <f>SUM(AT30:AX30)/'Neighborhood Inputs'!$J$28</f>
        <v>4.9726585784967261</v>
      </c>
      <c r="BA30" s="21" t="s">
        <v>95</v>
      </c>
      <c r="BB30" s="16">
        <f>SUMIFS(BB4:BB17,$K$4:$K$17,"x")</f>
        <v>0</v>
      </c>
      <c r="BC30" s="16">
        <f>SUMIFS(BC4:BC17,$K$4:$K$17,"x")</f>
        <v>215899.95</v>
      </c>
      <c r="BD30" s="16">
        <f>SUMIFS(BD4:BD17,$K$4:$K$17,"x")</f>
        <v>0</v>
      </c>
      <c r="BE30" s="16">
        <f>SUMIFS(BE4:BE17,$K$4:$K$17,"x")</f>
        <v>0</v>
      </c>
      <c r="BF30" s="16">
        <f>SUMIFS(BF4:BF17,$K$4:$K$17,"x")</f>
        <v>0</v>
      </c>
      <c r="BG30" s="71">
        <f>SUM(BB30:BF30)/'Neighborhood Inputs'!$F$28</f>
        <v>3.8433457943925236</v>
      </c>
      <c r="BH30" s="1"/>
      <c r="BI30" s="21" t="s">
        <v>95</v>
      </c>
      <c r="BJ30" s="16">
        <f>SUMIFS(BJ4:BJ17,$K$4:$K$17,"x")</f>
        <v>0</v>
      </c>
      <c r="BK30" s="16">
        <f>SUMIFS(BK4:BK17,$K$4:$K$17,"x")</f>
        <v>0</v>
      </c>
      <c r="BL30" s="16">
        <f>SUMIFS(BL4:BL17,$K$4:$K$17,"x")</f>
        <v>0</v>
      </c>
      <c r="BM30" s="16">
        <f>SUMIFS(BM4:BM17,$K$4:$K$17,"x")</f>
        <v>0</v>
      </c>
      <c r="BN30" s="16">
        <f>SUMIFS(BN4:BN17,$K$4:$K$17,"x")</f>
        <v>0</v>
      </c>
      <c r="BO30" s="71">
        <f>SUM(BJ30:BN30)/'Neighborhood Inputs'!$D$28</f>
        <v>0</v>
      </c>
      <c r="BQ30" s="21" t="s">
        <v>95</v>
      </c>
      <c r="BR30" s="16">
        <f>SUMIFS(BR4:BR17,$K$4:$K$17,"x")</f>
        <v>0</v>
      </c>
      <c r="BS30" s="16">
        <f>SUMIFS(BS4:BS17,$K$4:$K$17,"x")</f>
        <v>0</v>
      </c>
      <c r="BT30" s="16">
        <f>SUMIFS(BT4:BT17,$K$4:$K$17,"x")</f>
        <v>0</v>
      </c>
      <c r="BU30" s="16">
        <f>SUMIFS(BU4:BU17,$K$4:$K$17,"x")</f>
        <v>0</v>
      </c>
      <c r="BV30" s="16">
        <f>SUMIFS(BV4:BV17,$K$4:$K$17,"x")</f>
        <v>0</v>
      </c>
      <c r="BW30" s="71" t="e">
        <f>SUM(BR30:BV30)/'Neighborhood Inputs'!#REF!</f>
        <v>#REF!</v>
      </c>
      <c r="BY30" s="21" t="s">
        <v>95</v>
      </c>
      <c r="BZ30" s="16">
        <f>SUMIFS(BZ4:BZ17,$K$4:$K$17,"x")</f>
        <v>0</v>
      </c>
      <c r="CA30" s="16">
        <f>SUMIFS(CA4:CA17,$K$4:$K$17,"x")</f>
        <v>0</v>
      </c>
      <c r="CB30" s="16">
        <f>SUMIFS(CB4:CB17,$K$4:$K$17,"x")</f>
        <v>0</v>
      </c>
      <c r="CC30" s="16">
        <f>SUMIFS(CC4:CC17,$K$4:$K$17,"x")</f>
        <v>0</v>
      </c>
      <c r="CD30" s="16">
        <f>SUMIFS(CD4:CD17,$K$4:$K$17,"x")</f>
        <v>0</v>
      </c>
      <c r="CE30" s="71" t="e">
        <f>SUM(BZ30:CD30)/'Neighborhood Inputs'!#REF!</f>
        <v>#REF!</v>
      </c>
    </row>
    <row r="31" spans="2:83" ht="12.9" thickBot="1" x14ac:dyDescent="0.35">
      <c r="B31" s="70" t="s">
        <v>2</v>
      </c>
      <c r="C31" s="100">
        <f t="shared" ca="1" si="1"/>
        <v>116.61986304445442</v>
      </c>
      <c r="D31" s="100">
        <f t="shared" ca="1" si="1"/>
        <v>64.917712129931573</v>
      </c>
      <c r="E31" s="100">
        <f t="shared" ca="1" si="1"/>
        <v>77.273517672701189</v>
      </c>
      <c r="F31" s="100">
        <f t="shared" ca="1" si="1"/>
        <v>77.459738203968811</v>
      </c>
      <c r="G31" s="100">
        <f t="shared" ca="1" si="0"/>
        <v>83.852368678339701</v>
      </c>
      <c r="H31" s="100">
        <f t="shared" ca="1" si="0"/>
        <v>62.861428749443704</v>
      </c>
      <c r="I31" s="100">
        <f t="shared" ca="1" si="0"/>
        <v>0</v>
      </c>
      <c r="J31" s="100" t="e">
        <f t="shared" ca="1" si="0"/>
        <v>#REF!</v>
      </c>
      <c r="K31" s="100" t="e">
        <f t="shared" ca="1" si="0"/>
        <v>#REF!</v>
      </c>
      <c r="M31" s="93" t="s">
        <v>118</v>
      </c>
      <c r="N31" s="16">
        <f>SUM(N24:N30)</f>
        <v>163850.34</v>
      </c>
      <c r="O31" s="16">
        <f>SUM(O24:O30)</f>
        <v>355574.52999999997</v>
      </c>
      <c r="P31" s="16">
        <f>SUM(P24:P30)</f>
        <v>0</v>
      </c>
      <c r="Q31" s="16">
        <f>SUM(Q24:Q30)</f>
        <v>0</v>
      </c>
      <c r="R31" s="16">
        <f>SUM(R24:R30)</f>
        <v>0</v>
      </c>
      <c r="S31" s="71">
        <f>SUM(N31:R31)/'Neighborhood Inputs'!$E$28</f>
        <v>116.61986304445442</v>
      </c>
      <c r="T31" s="185">
        <f>SUM(T25:T26)</f>
        <v>104</v>
      </c>
      <c r="U31" s="93" t="s">
        <v>118</v>
      </c>
      <c r="V31" s="16">
        <f>SUM(V24:V30)</f>
        <v>796596.96</v>
      </c>
      <c r="W31" s="16">
        <f>SUM(W24:W30)</f>
        <v>1233899.24</v>
      </c>
      <c r="X31" s="16">
        <f>SUM(X24:X30)</f>
        <v>0</v>
      </c>
      <c r="Y31" s="16">
        <f>SUM(Y24:Y30)</f>
        <v>0</v>
      </c>
      <c r="Z31" s="16">
        <f>SUM(Z24:Z30)</f>
        <v>0</v>
      </c>
      <c r="AA31" s="71">
        <f>SUM(V31:Z31)/'Neighborhood Inputs'!$G$28</f>
        <v>64.917712129931573</v>
      </c>
      <c r="AB31" s="99">
        <f>SUM(AB24:AB30)</f>
        <v>1</v>
      </c>
      <c r="AC31" s="93" t="s">
        <v>118</v>
      </c>
      <c r="AD31" s="16">
        <f>SUM(AD24:AD30)</f>
        <v>1348200.81</v>
      </c>
      <c r="AE31" s="16">
        <f>SUM(AE24:AE30)</f>
        <v>1806411.73</v>
      </c>
      <c r="AF31" s="16">
        <f>SUM(AF24:AF30)</f>
        <v>0</v>
      </c>
      <c r="AG31" s="16">
        <f>SUM(AG24:AG30)</f>
        <v>0</v>
      </c>
      <c r="AH31" s="16">
        <f>SUM(AH24:AH30)</f>
        <v>0</v>
      </c>
      <c r="AI31" s="71">
        <f>SUM(AD31:AH31)/'Neighborhood Inputs'!$H$28</f>
        <v>77.273517672701189</v>
      </c>
      <c r="AJ31" s="172"/>
      <c r="AK31" s="93" t="s">
        <v>118</v>
      </c>
      <c r="AL31" s="16">
        <f>SUM(AL24:AL30)</f>
        <v>1664589.1700000002</v>
      </c>
      <c r="AM31" s="16">
        <f>SUM(AM24:AM30)</f>
        <v>1635517.91</v>
      </c>
      <c r="AN31" s="16">
        <f>SUM(AN24:AN30)</f>
        <v>0</v>
      </c>
      <c r="AO31" s="16">
        <f>SUM(AO24:AO30)</f>
        <v>0</v>
      </c>
      <c r="AP31" s="16">
        <f>SUM(AP24:AP30)</f>
        <v>0</v>
      </c>
      <c r="AQ31" s="71">
        <f>SUM(AL31:AP31)/'Neighborhood Inputs'!$I$28</f>
        <v>77.459738203968811</v>
      </c>
      <c r="AR31" s="46"/>
      <c r="AS31" s="93" t="s">
        <v>118</v>
      </c>
      <c r="AT31" s="16">
        <f>SUM(AT24:AT30)</f>
        <v>2318844.31</v>
      </c>
      <c r="AU31" s="16">
        <f>SUM(AU24:AU30)</f>
        <v>3341693.69</v>
      </c>
      <c r="AV31" s="16">
        <f>SUM(AV24:AV30)</f>
        <v>0</v>
      </c>
      <c r="AW31" s="16">
        <f>SUM(AW24:AW30)</f>
        <v>0</v>
      </c>
      <c r="AX31" s="16">
        <f>SUM(AX24:AX30)</f>
        <v>0</v>
      </c>
      <c r="AY31" s="71">
        <f>SUM(AT31:AX31)/'Neighborhood Inputs'!$J$28</f>
        <v>83.852368678339701</v>
      </c>
      <c r="AZ31" s="172"/>
      <c r="BA31" s="93" t="s">
        <v>118</v>
      </c>
      <c r="BB31" s="16">
        <f>SUM(BB24:BB30)</f>
        <v>1329305.94</v>
      </c>
      <c r="BC31" s="16">
        <f>SUM(BC24:BC30)</f>
        <v>2201934.8200000003</v>
      </c>
      <c r="BD31" s="16">
        <f>SUM(BD24:BD30)</f>
        <v>0</v>
      </c>
      <c r="BE31" s="16">
        <f>SUM(BE24:BE30)</f>
        <v>0</v>
      </c>
      <c r="BF31" s="16">
        <f>SUM(BF24:BF30)</f>
        <v>0</v>
      </c>
      <c r="BG31" s="71">
        <f>SUM(BB31:BF31)/'Neighborhood Inputs'!$F$28</f>
        <v>62.861428749443704</v>
      </c>
      <c r="BH31" s="20">
        <v>60</v>
      </c>
      <c r="BI31" s="93" t="s">
        <v>118</v>
      </c>
      <c r="BJ31" s="16">
        <f>SUM(BJ24:BJ30)</f>
        <v>0</v>
      </c>
      <c r="BK31" s="16">
        <f>SUM(BK24:BK30)</f>
        <v>0</v>
      </c>
      <c r="BL31" s="16">
        <f>SUM(BL24:BL30)</f>
        <v>0</v>
      </c>
      <c r="BM31" s="16">
        <f>SUM(BM24:BM30)</f>
        <v>0</v>
      </c>
      <c r="BN31" s="16">
        <f>SUM(BN24:BN30)</f>
        <v>0</v>
      </c>
      <c r="BO31" s="71">
        <f>SUM(BJ31:BN31)/'Neighborhood Inputs'!$D$28</f>
        <v>0</v>
      </c>
      <c r="BQ31" s="93" t="s">
        <v>118</v>
      </c>
      <c r="BR31" s="16">
        <f>SUM(BR24:BR30)</f>
        <v>0</v>
      </c>
      <c r="BS31" s="16">
        <f>SUM(BS24:BS30)</f>
        <v>0</v>
      </c>
      <c r="BT31" s="16">
        <f>SUM(BT24:BT30)</f>
        <v>0</v>
      </c>
      <c r="BU31" s="16">
        <f>SUM(BU24:BU30)</f>
        <v>0</v>
      </c>
      <c r="BV31" s="16">
        <f>SUM(BV24:BV30)</f>
        <v>0</v>
      </c>
      <c r="BW31" s="71" t="e">
        <f>SUM(BR31:BV31)/'Neighborhood Inputs'!#REF!</f>
        <v>#REF!</v>
      </c>
      <c r="BY31" s="93" t="s">
        <v>118</v>
      </c>
      <c r="BZ31" s="16">
        <f>SUM(BZ24:BZ30)</f>
        <v>0</v>
      </c>
      <c r="CA31" s="16">
        <f>SUM(CA24:CA30)</f>
        <v>0</v>
      </c>
      <c r="CB31" s="16">
        <f>SUM(CB24:CB30)</f>
        <v>0</v>
      </c>
      <c r="CC31" s="16">
        <f>SUM(CC24:CC30)</f>
        <v>0</v>
      </c>
      <c r="CD31" s="16">
        <f>SUM(CD24:CD30)</f>
        <v>0</v>
      </c>
      <c r="CE31" s="71" t="e">
        <f>SUM(BZ31:CD31)/'Neighborhood Inputs'!#REF!</f>
        <v>#REF!</v>
      </c>
    </row>
    <row r="32" spans="2:83" x14ac:dyDescent="0.3">
      <c r="C32" s="656" t="s">
        <v>119</v>
      </c>
      <c r="D32" s="103">
        <f ca="1">$C$31-D31</f>
        <v>51.702150914522846</v>
      </c>
      <c r="E32" s="103">
        <f t="shared" ref="E32:K32" ca="1" si="2">$C$31-E31</f>
        <v>39.34634537175323</v>
      </c>
      <c r="F32" s="103">
        <f t="shared" ca="1" si="2"/>
        <v>39.160124840485608</v>
      </c>
      <c r="G32" s="103">
        <f t="shared" ca="1" si="2"/>
        <v>32.767494366114718</v>
      </c>
      <c r="H32" s="103">
        <f t="shared" ca="1" si="2"/>
        <v>53.758434295010716</v>
      </c>
      <c r="I32" s="103">
        <f t="shared" ca="1" si="2"/>
        <v>116.61986304445442</v>
      </c>
      <c r="J32" s="103" t="e">
        <f t="shared" ca="1" si="2"/>
        <v>#REF!</v>
      </c>
      <c r="K32" s="103" t="e">
        <f t="shared" ca="1" si="2"/>
        <v>#REF!</v>
      </c>
      <c r="O32" s="172" t="s">
        <v>535</v>
      </c>
      <c r="S32" s="46">
        <f>S30+S25</f>
        <v>79.832629097440503</v>
      </c>
      <c r="W32" s="172" t="s">
        <v>535</v>
      </c>
      <c r="AA32" s="46">
        <f>AA30+AA25</f>
        <v>39.449428991623506</v>
      </c>
      <c r="AB32" s="181">
        <v>35</v>
      </c>
      <c r="AE32" s="172" t="s">
        <v>535</v>
      </c>
      <c r="AI32" s="46">
        <f>AI30+AI25</f>
        <v>44.25065733424325</v>
      </c>
      <c r="AM32" s="172" t="s">
        <v>535</v>
      </c>
      <c r="AQ32" s="46">
        <f>AQ30+AQ25</f>
        <v>38.389383806651743</v>
      </c>
      <c r="AU32" s="172" t="s">
        <v>535</v>
      </c>
      <c r="AY32" s="46">
        <f>AY30+AY25</f>
        <v>49.502172992030339</v>
      </c>
      <c r="BC32" s="172" t="s">
        <v>535</v>
      </c>
      <c r="BG32" s="46">
        <f>BG30+BG25</f>
        <v>39.197771606586564</v>
      </c>
      <c r="BH32" s="181"/>
      <c r="CE32" s="184"/>
    </row>
    <row r="33" spans="2:83" ht="12.9" thickBot="1" x14ac:dyDescent="0.35">
      <c r="B33" s="20"/>
      <c r="C33" s="657"/>
      <c r="D33" s="126">
        <f t="shared" ref="D33:K33" ca="1" si="3">1-D31/$C$31</f>
        <v>0.44333914965081433</v>
      </c>
      <c r="E33" s="126">
        <f t="shared" ca="1" si="3"/>
        <v>0.33738974086048068</v>
      </c>
      <c r="F33" s="126">
        <f t="shared" ca="1" si="3"/>
        <v>0.33579292427704299</v>
      </c>
      <c r="G33" s="126">
        <f t="shared" ca="1" si="3"/>
        <v>0.28097695804722433</v>
      </c>
      <c r="H33" s="126">
        <f t="shared" ca="1" si="3"/>
        <v>0.4609715094118958</v>
      </c>
      <c r="I33" s="126">
        <f t="shared" ca="1" si="3"/>
        <v>1</v>
      </c>
      <c r="J33" s="126" t="e">
        <f t="shared" ca="1" si="3"/>
        <v>#REF!</v>
      </c>
      <c r="K33" s="126" t="e">
        <f t="shared" ca="1" si="3"/>
        <v>#REF!</v>
      </c>
      <c r="O33" s="172" t="s">
        <v>536</v>
      </c>
      <c r="S33" s="46">
        <f>S31-S32</f>
        <v>36.787233947013917</v>
      </c>
      <c r="W33" s="172" t="s">
        <v>536</v>
      </c>
      <c r="AA33" s="46">
        <f>AA31-AA32</f>
        <v>25.468283138308067</v>
      </c>
      <c r="AB33" s="181">
        <v>27</v>
      </c>
      <c r="AE33" s="172" t="s">
        <v>536</v>
      </c>
      <c r="AI33" s="46">
        <f>AI31-AI32</f>
        <v>33.022860338457939</v>
      </c>
      <c r="AJ33" s="181"/>
      <c r="AM33" s="172" t="s">
        <v>536</v>
      </c>
      <c r="AQ33" s="46">
        <f>AQ31-AQ32</f>
        <v>39.070354397317068</v>
      </c>
      <c r="AU33" s="172" t="s">
        <v>536</v>
      </c>
      <c r="AY33" s="46">
        <f>AY31-AY32</f>
        <v>34.350195686309362</v>
      </c>
      <c r="BC33" s="172" t="s">
        <v>536</v>
      </c>
      <c r="BG33" s="46">
        <f>BG31-BG32</f>
        <v>23.66365714285714</v>
      </c>
      <c r="BH33" s="181"/>
      <c r="BX33" s="46"/>
    </row>
    <row r="34" spans="2:83" x14ac:dyDescent="0.3">
      <c r="D34" s="20"/>
    </row>
    <row r="35" spans="2:83" x14ac:dyDescent="0.3">
      <c r="B35" s="21" t="s">
        <v>89</v>
      </c>
      <c r="C35" s="63">
        <f t="shared" ref="C35:K42" ca="1" si="4">OFFSET($M35,0,(6+8*C$22))</f>
        <v>2137.9132064421665</v>
      </c>
      <c r="D35" s="63">
        <f t="shared" ca="1" si="4"/>
        <v>13440.675120351389</v>
      </c>
      <c r="E35" s="63">
        <f t="shared" ca="1" si="4"/>
        <v>13849.323421376279</v>
      </c>
      <c r="F35" s="63">
        <f t="shared" ca="1" si="4"/>
        <v>14453.238180966324</v>
      </c>
      <c r="G35" s="63">
        <f t="shared" ca="1" si="4"/>
        <v>22901.2579443631</v>
      </c>
      <c r="H35" s="63">
        <f t="shared" ca="1" si="4"/>
        <v>27913.655670863835</v>
      </c>
      <c r="I35" s="63">
        <f t="shared" ca="1" si="4"/>
        <v>0</v>
      </c>
      <c r="J35" s="63">
        <f t="shared" ca="1" si="4"/>
        <v>0</v>
      </c>
      <c r="K35" s="63">
        <f t="shared" ca="1" si="4"/>
        <v>0</v>
      </c>
      <c r="M35" s="21" t="s">
        <v>89</v>
      </c>
      <c r="N35" s="63">
        <f>VLOOKUP(N$23,'Neighborhood Inputs'!$C$35:$D$39,2,FALSE)*N24</f>
        <v>2137.9132064421665</v>
      </c>
      <c r="O35" s="63">
        <f>VLOOKUP(O$23,'Neighborhood Inputs'!$C$35:$D$39,2,FALSE)*O24</f>
        <v>0</v>
      </c>
      <c r="P35" s="63">
        <f>VLOOKUP(P$23,'Neighborhood Inputs'!$C$35:$D$39,2,FALSE)*P24</f>
        <v>0</v>
      </c>
      <c r="Q35" s="63">
        <f>VLOOKUP(Q$23,'Neighborhood Inputs'!$C$35:$D$39,2,FALSE)*Q24</f>
        <v>0</v>
      </c>
      <c r="R35" s="63">
        <f>VLOOKUP(R$23,'Neighborhood Inputs'!$C$35:$D$39,2,FALSE)*R24</f>
        <v>0</v>
      </c>
      <c r="S35" s="72">
        <f>SUMIF(N35:R35,"&lt;&gt;#N/A")</f>
        <v>2137.9132064421665</v>
      </c>
      <c r="U35" s="21" t="s">
        <v>89</v>
      </c>
      <c r="V35" s="63">
        <f>VLOOKUP(V$23,'Neighborhood Inputs'!$C$35:$D$39,2,FALSE)*V24</f>
        <v>13440.675120351389</v>
      </c>
      <c r="W35" s="63">
        <f>VLOOKUP(W$23,'Neighborhood Inputs'!$C$35:$D$39,2,FALSE)*W24</f>
        <v>0</v>
      </c>
      <c r="X35" s="63">
        <f>VLOOKUP(X$23,'Neighborhood Inputs'!$C$35:$D$39,2,FALSE)*X24</f>
        <v>0</v>
      </c>
      <c r="Y35" s="63">
        <f>VLOOKUP(Y$23,'Neighborhood Inputs'!$C$35:$D$39,2,FALSE)*Y24</f>
        <v>0</v>
      </c>
      <c r="Z35" s="63">
        <f>VLOOKUP(Z$23,'Neighborhood Inputs'!$C$35:$D$39,2,FALSE)*Z24</f>
        <v>0</v>
      </c>
      <c r="AA35" s="72">
        <f>SUMIF(V35:Z35,"&lt;&gt;#N/A")</f>
        <v>13440.675120351389</v>
      </c>
      <c r="AC35" s="21" t="s">
        <v>89</v>
      </c>
      <c r="AD35" s="63">
        <f>VLOOKUP(AD$23,'Neighborhood Inputs'!$C$35:$D$39,2,FALSE)*AD24</f>
        <v>13849.323421376279</v>
      </c>
      <c r="AE35" s="63">
        <f>VLOOKUP(AE$23,'Neighborhood Inputs'!$C$35:$D$39,2,FALSE)*AE24</f>
        <v>0</v>
      </c>
      <c r="AF35" s="63">
        <f>VLOOKUP(AF$23,'Neighborhood Inputs'!$C$35:$D$39,2,FALSE)*AF24</f>
        <v>0</v>
      </c>
      <c r="AG35" s="63">
        <f>VLOOKUP(AG$23,'Neighborhood Inputs'!$C$35:$D$39,2,FALSE)*AG24</f>
        <v>0</v>
      </c>
      <c r="AH35" s="63">
        <f>VLOOKUP(AH$23,'Neighborhood Inputs'!$C$35:$D$39,2,FALSE)*AH24</f>
        <v>0</v>
      </c>
      <c r="AI35" s="72">
        <f>SUMIF(AD35:AH35,"&lt;&gt;#N/A")</f>
        <v>13849.323421376279</v>
      </c>
      <c r="AK35" s="21" t="s">
        <v>89</v>
      </c>
      <c r="AL35" s="63">
        <f>VLOOKUP(AL$23,'Neighborhood Inputs'!$C$35:$D$39,2,FALSE)*AL24</f>
        <v>14453.238180966324</v>
      </c>
      <c r="AM35" s="63">
        <f>VLOOKUP(AM$23,'Neighborhood Inputs'!$C$35:$D$39,2,FALSE)*AM24</f>
        <v>0</v>
      </c>
      <c r="AN35" s="63">
        <f>VLOOKUP(AN$23,'Neighborhood Inputs'!$C$35:$D$39,2,FALSE)*AN24</f>
        <v>0</v>
      </c>
      <c r="AO35" s="63">
        <f>VLOOKUP(AO$23,'Neighborhood Inputs'!$C$35:$D$39,2,FALSE)*AO24</f>
        <v>0</v>
      </c>
      <c r="AP35" s="63">
        <f>VLOOKUP(AP$23,'Neighborhood Inputs'!$C$35:$D$39,2,FALSE)*AP24</f>
        <v>0</v>
      </c>
      <c r="AQ35" s="72">
        <f>SUMIF(AL35:AP35,"&lt;&gt;#N/A")</f>
        <v>14453.238180966324</v>
      </c>
      <c r="AS35" s="21" t="s">
        <v>89</v>
      </c>
      <c r="AT35" s="63">
        <f>VLOOKUP(AT$23,'Neighborhood Inputs'!$C$35:$D$39,2,FALSE)*AT24</f>
        <v>22901.2579443631</v>
      </c>
      <c r="AU35" s="63">
        <f>VLOOKUP(AU$23,'Neighborhood Inputs'!$C$35:$D$39,2,FALSE)*AU24</f>
        <v>0</v>
      </c>
      <c r="AV35" s="63">
        <f>VLOOKUP(AV$23,'Neighborhood Inputs'!$C$35:$D$39,2,FALSE)*AV24</f>
        <v>0</v>
      </c>
      <c r="AW35" s="63">
        <f>VLOOKUP(AW$23,'Neighborhood Inputs'!$C$35:$D$39,2,FALSE)*AW24</f>
        <v>0</v>
      </c>
      <c r="AX35" s="63">
        <f>VLOOKUP(AX$23,'Neighborhood Inputs'!$C$35:$D$39,2,FALSE)*AX24</f>
        <v>0</v>
      </c>
      <c r="AY35" s="72">
        <f>SUMIF(AT35:AX35,"&lt;&gt;#N/A")</f>
        <v>22901.2579443631</v>
      </c>
      <c r="BA35" s="21" t="s">
        <v>89</v>
      </c>
      <c r="BB35" s="63">
        <f>VLOOKUP(BB$23,'Neighborhood Inputs'!$C$35:$D$39,2,FALSE)*BB24</f>
        <v>27913.655670863835</v>
      </c>
      <c r="BC35" s="63">
        <f>VLOOKUP(BC$23,'Neighborhood Inputs'!$C$35:$D$39,2,FALSE)*BC24</f>
        <v>0</v>
      </c>
      <c r="BD35" s="63">
        <f>VLOOKUP(BD$23,'Neighborhood Inputs'!$C$35:$D$39,2,FALSE)*BD24</f>
        <v>0</v>
      </c>
      <c r="BE35" s="63">
        <f>VLOOKUP(BE$23,'Neighborhood Inputs'!$C$35:$D$39,2,FALSE)*BE24</f>
        <v>0</v>
      </c>
      <c r="BF35" s="63">
        <f>VLOOKUP(BF$23,'Neighborhood Inputs'!$C$35:$D$39,2,FALSE)*BF24</f>
        <v>0</v>
      </c>
      <c r="BG35" s="72">
        <f>SUMIF(BB35:BF35,"&lt;&gt;#N/A")</f>
        <v>27913.655670863835</v>
      </c>
      <c r="BI35" s="21" t="s">
        <v>89</v>
      </c>
      <c r="BJ35" s="63">
        <f>VLOOKUP(BJ$23,'Neighborhood Inputs'!$C$35:$D$39,2,FALSE)*BJ24</f>
        <v>0</v>
      </c>
      <c r="BK35" s="63">
        <f>VLOOKUP(BK$23,'Neighborhood Inputs'!$C$35:$D$39,2,FALSE)*BK24</f>
        <v>0</v>
      </c>
      <c r="BL35" s="63">
        <f>VLOOKUP(BL$23,'Neighborhood Inputs'!$C$35:$D$39,2,FALSE)*BL24</f>
        <v>0</v>
      </c>
      <c r="BM35" s="63">
        <f>VLOOKUP(BM$23,'Neighborhood Inputs'!$C$35:$D$39,2,FALSE)*BM24</f>
        <v>0</v>
      </c>
      <c r="BN35" s="63">
        <f>VLOOKUP(BN$23,'Neighborhood Inputs'!$C$35:$D$39,2,FALSE)*BN24</f>
        <v>0</v>
      </c>
      <c r="BO35" s="72">
        <f>SUMIF(BJ35:BN35,"&lt;&gt;#N/A")</f>
        <v>0</v>
      </c>
      <c r="BQ35" s="21" t="s">
        <v>89</v>
      </c>
      <c r="BR35" s="63">
        <f>VLOOKUP(BR$23,'Neighborhood Inputs'!$C$35:$D$39,2,FALSE)*BR24</f>
        <v>0</v>
      </c>
      <c r="BS35" s="63">
        <f>VLOOKUP(BS$23,'Neighborhood Inputs'!$C$35:$D$39,2,FALSE)*BS24</f>
        <v>0</v>
      </c>
      <c r="BT35" s="63">
        <f>VLOOKUP(BT$23,'Neighborhood Inputs'!$C$35:$D$39,2,FALSE)*BT24</f>
        <v>0</v>
      </c>
      <c r="BU35" s="63">
        <f>VLOOKUP(BU$23,'Neighborhood Inputs'!$C$35:$D$39,2,FALSE)*BU24</f>
        <v>0</v>
      </c>
      <c r="BV35" s="63">
        <f>VLOOKUP(BV$23,'Neighborhood Inputs'!$C$35:$D$39,2,FALSE)*BV24</f>
        <v>0</v>
      </c>
      <c r="BW35" s="72">
        <f>SUMIF(BR35:BV35,"&lt;&gt;#N/A")</f>
        <v>0</v>
      </c>
      <c r="BY35" s="21" t="s">
        <v>89</v>
      </c>
      <c r="BZ35" s="63">
        <f>VLOOKUP(BZ$23,'Neighborhood Inputs'!$C$35:$D$39,2,FALSE)*BZ24</f>
        <v>0</v>
      </c>
      <c r="CA35" s="63">
        <f>VLOOKUP(CA$23,'Neighborhood Inputs'!$C$35:$D$39,2,FALSE)*CA24</f>
        <v>0</v>
      </c>
      <c r="CB35" s="63">
        <f>VLOOKUP(CB$23,'Neighborhood Inputs'!$C$35:$D$39,2,FALSE)*CB24</f>
        <v>0</v>
      </c>
      <c r="CC35" s="63">
        <f>VLOOKUP(CC$23,'Neighborhood Inputs'!$C$35:$D$39,2,FALSE)*CC24</f>
        <v>0</v>
      </c>
      <c r="CD35" s="63">
        <f>VLOOKUP(CD$23,'Neighborhood Inputs'!$C$35:$D$39,2,FALSE)*CD24</f>
        <v>0</v>
      </c>
      <c r="CE35" s="72">
        <f>SUMIF(BZ35:CD35,"&lt;&gt;#N/A")</f>
        <v>0</v>
      </c>
    </row>
    <row r="36" spans="2:83" x14ac:dyDescent="0.3">
      <c r="B36" s="21" t="s">
        <v>90</v>
      </c>
      <c r="C36" s="63">
        <f t="shared" ca="1" si="4"/>
        <v>2706.7435298651253</v>
      </c>
      <c r="D36" s="63">
        <f t="shared" ca="1" si="4"/>
        <v>8464.1558111753366</v>
      </c>
      <c r="E36" s="63">
        <f t="shared" ca="1" si="4"/>
        <v>12663.00598407908</v>
      </c>
      <c r="F36" s="63">
        <f t="shared" ca="1" si="4"/>
        <v>11237.703292489499</v>
      </c>
      <c r="G36" s="63">
        <f t="shared" ca="1" si="4"/>
        <v>23746.895067437381</v>
      </c>
      <c r="H36" s="63">
        <f t="shared" ca="1" si="4"/>
        <v>15689.292807321774</v>
      </c>
      <c r="I36" s="63">
        <f t="shared" ca="1" si="4"/>
        <v>0</v>
      </c>
      <c r="J36" s="63">
        <f t="shared" ca="1" si="4"/>
        <v>0</v>
      </c>
      <c r="K36" s="63">
        <f t="shared" ca="1" si="4"/>
        <v>0</v>
      </c>
      <c r="M36" s="21" t="s">
        <v>90</v>
      </c>
      <c r="N36" s="63">
        <f>VLOOKUP(N$23,'Neighborhood Inputs'!$C$35:$D$39,2,FALSE)*N25</f>
        <v>0</v>
      </c>
      <c r="O36" s="63">
        <f>VLOOKUP(O$23,'Neighborhood Inputs'!$C$35:$D$39,2,FALSE)*O25</f>
        <v>2706.7435298651253</v>
      </c>
      <c r="P36" s="63">
        <f>VLOOKUP(P$23,'Neighborhood Inputs'!$C$35:$D$39,2,FALSE)*P25</f>
        <v>0</v>
      </c>
      <c r="Q36" s="63">
        <f>VLOOKUP(Q$23,'Neighborhood Inputs'!$C$35:$D$39,2,FALSE)*Q25</f>
        <v>0</v>
      </c>
      <c r="R36" s="63">
        <f>VLOOKUP(R$23,'Neighborhood Inputs'!$C$35:$D$39,2,FALSE)*R25</f>
        <v>0</v>
      </c>
      <c r="S36" s="72">
        <f t="shared" ref="S36:S42" si="5">SUMIF(N36:R36,"&lt;&gt;#N/A")</f>
        <v>2706.7435298651253</v>
      </c>
      <c r="U36" s="21" t="s">
        <v>90</v>
      </c>
      <c r="V36" s="63">
        <f>VLOOKUP(V$23,'Neighborhood Inputs'!$C$35:$D$39,2,FALSE)*V25</f>
        <v>0</v>
      </c>
      <c r="W36" s="63">
        <f>VLOOKUP(W$23,'Neighborhood Inputs'!$C$35:$D$39,2,FALSE)*W25</f>
        <v>8464.1558111753366</v>
      </c>
      <c r="X36" s="63">
        <f>VLOOKUP(X$23,'Neighborhood Inputs'!$C$35:$D$39,2,FALSE)*X25</f>
        <v>0</v>
      </c>
      <c r="Y36" s="63">
        <f>VLOOKUP(Y$23,'Neighborhood Inputs'!$C$35:$D$39,2,FALSE)*Y25</f>
        <v>0</v>
      </c>
      <c r="Z36" s="63">
        <f>VLOOKUP(Z$23,'Neighborhood Inputs'!$C$35:$D$39,2,FALSE)*Z25</f>
        <v>0</v>
      </c>
      <c r="AA36" s="72">
        <f t="shared" ref="AA36:AA42" si="6">SUMIF(V36:Z36,"&lt;&gt;#N/A")</f>
        <v>8464.1558111753366</v>
      </c>
      <c r="AC36" s="21" t="s">
        <v>90</v>
      </c>
      <c r="AD36" s="63">
        <f>VLOOKUP(AD$23,'Neighborhood Inputs'!$C$35:$D$39,2,FALSE)*AD25</f>
        <v>4.3834869692532941</v>
      </c>
      <c r="AE36" s="63">
        <f>VLOOKUP(AE$23,'Neighborhood Inputs'!$C$35:$D$39,2,FALSE)*AE25</f>
        <v>12658.622497109827</v>
      </c>
      <c r="AF36" s="63">
        <f>VLOOKUP(AF$23,'Neighborhood Inputs'!$C$35:$D$39,2,FALSE)*AF25</f>
        <v>0</v>
      </c>
      <c r="AG36" s="63">
        <f>VLOOKUP(AG$23,'Neighborhood Inputs'!$C$35:$D$39,2,FALSE)*AG25</f>
        <v>0</v>
      </c>
      <c r="AH36" s="63">
        <f>VLOOKUP(AH$23,'Neighborhood Inputs'!$C$35:$D$39,2,FALSE)*AH25</f>
        <v>0</v>
      </c>
      <c r="AI36" s="72">
        <f t="shared" ref="AI36:AI42" si="7">SUMIF(AD36:AH36,"&lt;&gt;#N/A")</f>
        <v>12663.00598407908</v>
      </c>
      <c r="AK36" s="21" t="s">
        <v>90</v>
      </c>
      <c r="AL36" s="63">
        <f>VLOOKUP(AL$23,'Neighborhood Inputs'!$C$35:$D$39,2,FALSE)*AL25</f>
        <v>1.6988743777452413</v>
      </c>
      <c r="AM36" s="63">
        <f>VLOOKUP(AM$23,'Neighborhood Inputs'!$C$35:$D$39,2,FALSE)*AM25</f>
        <v>11236.004418111754</v>
      </c>
      <c r="AN36" s="63">
        <f>VLOOKUP(AN$23,'Neighborhood Inputs'!$C$35:$D$39,2,FALSE)*AN25</f>
        <v>0</v>
      </c>
      <c r="AO36" s="63">
        <f>VLOOKUP(AO$23,'Neighborhood Inputs'!$C$35:$D$39,2,FALSE)*AO25</f>
        <v>0</v>
      </c>
      <c r="AP36" s="63">
        <f>VLOOKUP(AP$23,'Neighborhood Inputs'!$C$35:$D$39,2,FALSE)*AP25</f>
        <v>0</v>
      </c>
      <c r="AQ36" s="72">
        <f t="shared" ref="AQ36:AQ42" si="8">SUMIF(AL36:AP36,"&lt;&gt;#N/A")</f>
        <v>11237.703292489499</v>
      </c>
      <c r="AS36" s="21" t="s">
        <v>90</v>
      </c>
      <c r="AT36" s="63">
        <f>VLOOKUP(AT$23,'Neighborhood Inputs'!$C$35:$D$39,2,FALSE)*AT25</f>
        <v>0</v>
      </c>
      <c r="AU36" s="63">
        <f>VLOOKUP(AU$23,'Neighborhood Inputs'!$C$35:$D$39,2,FALSE)*AU25</f>
        <v>23746.895067437381</v>
      </c>
      <c r="AV36" s="63">
        <f>VLOOKUP(AV$23,'Neighborhood Inputs'!$C$35:$D$39,2,FALSE)*AV25</f>
        <v>0</v>
      </c>
      <c r="AW36" s="63">
        <f>VLOOKUP(AW$23,'Neighborhood Inputs'!$C$35:$D$39,2,FALSE)*AW25</f>
        <v>0</v>
      </c>
      <c r="AX36" s="63">
        <f>VLOOKUP(AX$23,'Neighborhood Inputs'!$C$35:$D$39,2,FALSE)*AX25</f>
        <v>0</v>
      </c>
      <c r="AY36" s="72">
        <f t="shared" ref="AY36:AY42" si="9">SUMIF(AT36:AX36,"&lt;&gt;#N/A")</f>
        <v>23746.895067437381</v>
      </c>
      <c r="BA36" s="21" t="s">
        <v>90</v>
      </c>
      <c r="BB36" s="63">
        <f>VLOOKUP(BB$23,'Neighborhood Inputs'!$C$35:$D$39,2,FALSE)*BB25</f>
        <v>0</v>
      </c>
      <c r="BC36" s="63">
        <f>VLOOKUP(BC$23,'Neighborhood Inputs'!$C$35:$D$39,2,FALSE)*BC25</f>
        <v>15689.292807321774</v>
      </c>
      <c r="BD36" s="63">
        <f>VLOOKUP(BD$23,'Neighborhood Inputs'!$C$35:$D$39,2,FALSE)*BD25</f>
        <v>0</v>
      </c>
      <c r="BE36" s="63">
        <f>VLOOKUP(BE$23,'Neighborhood Inputs'!$C$35:$D$39,2,FALSE)*BE25</f>
        <v>0</v>
      </c>
      <c r="BF36" s="63">
        <f>VLOOKUP(BF$23,'Neighborhood Inputs'!$C$35:$D$39,2,FALSE)*BF25</f>
        <v>0</v>
      </c>
      <c r="BG36" s="72">
        <f t="shared" ref="BG36:BG42" si="10">SUMIF(BB36:BF36,"&lt;&gt;#N/A")</f>
        <v>15689.292807321774</v>
      </c>
      <c r="BI36" s="21" t="s">
        <v>90</v>
      </c>
      <c r="BJ36" s="63">
        <f>VLOOKUP(BJ$23,'Neighborhood Inputs'!$C$35:$D$39,2,FALSE)*BJ25</f>
        <v>0</v>
      </c>
      <c r="BK36" s="63">
        <f>VLOOKUP(BK$23,'Neighborhood Inputs'!$C$35:$D$39,2,FALSE)*BK25</f>
        <v>0</v>
      </c>
      <c r="BL36" s="63">
        <f>VLOOKUP(BL$23,'Neighborhood Inputs'!$C$35:$D$39,2,FALSE)*BL25</f>
        <v>0</v>
      </c>
      <c r="BM36" s="63">
        <f>VLOOKUP(BM$23,'Neighborhood Inputs'!$C$35:$D$39,2,FALSE)*BM25</f>
        <v>0</v>
      </c>
      <c r="BN36" s="63">
        <f>VLOOKUP(BN$23,'Neighborhood Inputs'!$C$35:$D$39,2,FALSE)*BN25</f>
        <v>0</v>
      </c>
      <c r="BO36" s="72">
        <f t="shared" ref="BO36:BO42" si="11">SUMIF(BJ36:BN36,"&lt;&gt;#N/A")</f>
        <v>0</v>
      </c>
      <c r="BQ36" s="21" t="s">
        <v>90</v>
      </c>
      <c r="BR36" s="63">
        <f>VLOOKUP(BR$23,'Neighborhood Inputs'!$C$35:$D$39,2,FALSE)*BR25</f>
        <v>0</v>
      </c>
      <c r="BS36" s="63">
        <f>VLOOKUP(BS$23,'Neighborhood Inputs'!$C$35:$D$39,2,FALSE)*BS25</f>
        <v>0</v>
      </c>
      <c r="BT36" s="63">
        <f>VLOOKUP(BT$23,'Neighborhood Inputs'!$C$35:$D$39,2,FALSE)*BT25</f>
        <v>0</v>
      </c>
      <c r="BU36" s="63">
        <f>VLOOKUP(BU$23,'Neighborhood Inputs'!$C$35:$D$39,2,FALSE)*BU25</f>
        <v>0</v>
      </c>
      <c r="BV36" s="63">
        <f>VLOOKUP(BV$23,'Neighborhood Inputs'!$C$35:$D$39,2,FALSE)*BV25</f>
        <v>0</v>
      </c>
      <c r="BW36" s="72">
        <f t="shared" ref="BW36:BW42" si="12">SUMIF(BR36:BV36,"&lt;&gt;#N/A")</f>
        <v>0</v>
      </c>
      <c r="BY36" s="21" t="s">
        <v>90</v>
      </c>
      <c r="BZ36" s="63">
        <f>VLOOKUP(BZ$23,'Neighborhood Inputs'!$C$35:$D$39,2,FALSE)*BZ25</f>
        <v>0</v>
      </c>
      <c r="CA36" s="63">
        <f>VLOOKUP(CA$23,'Neighborhood Inputs'!$C$35:$D$39,2,FALSE)*CA25</f>
        <v>0</v>
      </c>
      <c r="CB36" s="63">
        <f>VLOOKUP(CB$23,'Neighborhood Inputs'!$C$35:$D$39,2,FALSE)*CB25</f>
        <v>0</v>
      </c>
      <c r="CC36" s="63">
        <f>VLOOKUP(CC$23,'Neighborhood Inputs'!$C$35:$D$39,2,FALSE)*CC25</f>
        <v>0</v>
      </c>
      <c r="CD36" s="63">
        <f>VLOOKUP(CD$23,'Neighborhood Inputs'!$C$35:$D$39,2,FALSE)*CD25</f>
        <v>0</v>
      </c>
      <c r="CE36" s="72">
        <f t="shared" ref="CE36:CE42" si="13">SUMIF(BZ36:CD36,"&lt;&gt;#N/A")</f>
        <v>0</v>
      </c>
    </row>
    <row r="37" spans="2:83" x14ac:dyDescent="0.3">
      <c r="B37" s="21" t="s">
        <v>91</v>
      </c>
      <c r="C37" s="63">
        <f t="shared" ca="1" si="4"/>
        <v>2761.9315045387989</v>
      </c>
      <c r="D37" s="63">
        <f t="shared" ca="1" si="4"/>
        <v>8560.6061352855031</v>
      </c>
      <c r="E37" s="63">
        <f t="shared" ca="1" si="4"/>
        <v>15892.921494582721</v>
      </c>
      <c r="F37" s="63">
        <f t="shared" ca="1" si="4"/>
        <v>5967.800048023425</v>
      </c>
      <c r="G37" s="63">
        <f t="shared" ca="1" si="4"/>
        <v>0</v>
      </c>
      <c r="H37" s="63">
        <f t="shared" ca="1" si="4"/>
        <v>18283.260173352854</v>
      </c>
      <c r="I37" s="63">
        <f t="shared" ca="1" si="4"/>
        <v>0</v>
      </c>
      <c r="J37" s="63">
        <f t="shared" ca="1" si="4"/>
        <v>0</v>
      </c>
      <c r="K37" s="63">
        <f t="shared" ca="1" si="4"/>
        <v>0</v>
      </c>
      <c r="M37" s="21" t="s">
        <v>91</v>
      </c>
      <c r="N37" s="63">
        <f>VLOOKUP(N$23,'Neighborhood Inputs'!$C$35:$D$39,2,FALSE)*N26</f>
        <v>2761.9315045387989</v>
      </c>
      <c r="O37" s="63">
        <f>VLOOKUP(O$23,'Neighborhood Inputs'!$C$35:$D$39,2,FALSE)*O26</f>
        <v>0</v>
      </c>
      <c r="P37" s="63">
        <f>VLOOKUP(P$23,'Neighborhood Inputs'!$C$35:$D$39,2,FALSE)*P26</f>
        <v>0</v>
      </c>
      <c r="Q37" s="63">
        <f>VLOOKUP(Q$23,'Neighborhood Inputs'!$C$35:$D$39,2,FALSE)*Q26</f>
        <v>0</v>
      </c>
      <c r="R37" s="63">
        <f>VLOOKUP(R$23,'Neighborhood Inputs'!$C$35:$D$39,2,FALSE)*R26</f>
        <v>0</v>
      </c>
      <c r="S37" s="72">
        <f t="shared" si="5"/>
        <v>2761.9315045387989</v>
      </c>
      <c r="U37" s="21" t="s">
        <v>91</v>
      </c>
      <c r="V37" s="63">
        <f>VLOOKUP(V$23,'Neighborhood Inputs'!$C$35:$D$39,2,FALSE)*V26</f>
        <v>8560.6061352855031</v>
      </c>
      <c r="W37" s="63">
        <f>VLOOKUP(W$23,'Neighborhood Inputs'!$C$35:$D$39,2,FALSE)*W26</f>
        <v>0</v>
      </c>
      <c r="X37" s="63">
        <f>VLOOKUP(X$23,'Neighborhood Inputs'!$C$35:$D$39,2,FALSE)*X26</f>
        <v>0</v>
      </c>
      <c r="Y37" s="63">
        <f>VLOOKUP(Y$23,'Neighborhood Inputs'!$C$35:$D$39,2,FALSE)*Y26</f>
        <v>0</v>
      </c>
      <c r="Z37" s="63">
        <f>VLOOKUP(Z$23,'Neighborhood Inputs'!$C$35:$D$39,2,FALSE)*Z26</f>
        <v>0</v>
      </c>
      <c r="AA37" s="72">
        <f t="shared" si="6"/>
        <v>8560.6061352855031</v>
      </c>
      <c r="AC37" s="21" t="s">
        <v>91</v>
      </c>
      <c r="AD37" s="63">
        <f>VLOOKUP(AD$23,'Neighborhood Inputs'!$C$35:$D$39,2,FALSE)*AD26</f>
        <v>15892.921494582721</v>
      </c>
      <c r="AE37" s="63">
        <f>VLOOKUP(AE$23,'Neighborhood Inputs'!$C$35:$D$39,2,FALSE)*AE26</f>
        <v>0</v>
      </c>
      <c r="AF37" s="63">
        <f>VLOOKUP(AF$23,'Neighborhood Inputs'!$C$35:$D$39,2,FALSE)*AF26</f>
        <v>0</v>
      </c>
      <c r="AG37" s="63">
        <f>VLOOKUP(AG$23,'Neighborhood Inputs'!$C$35:$D$39,2,FALSE)*AG26</f>
        <v>0</v>
      </c>
      <c r="AH37" s="63">
        <f>VLOOKUP(AH$23,'Neighborhood Inputs'!$C$35:$D$39,2,FALSE)*AH26</f>
        <v>0</v>
      </c>
      <c r="AI37" s="72">
        <f t="shared" si="7"/>
        <v>15892.921494582721</v>
      </c>
      <c r="AK37" s="21" t="s">
        <v>91</v>
      </c>
      <c r="AL37" s="63">
        <f>VLOOKUP(AL$23,'Neighborhood Inputs'!$C$35:$D$39,2,FALSE)*AL26</f>
        <v>5967.800048023425</v>
      </c>
      <c r="AM37" s="63">
        <f>VLOOKUP(AM$23,'Neighborhood Inputs'!$C$35:$D$39,2,FALSE)*AM26</f>
        <v>0</v>
      </c>
      <c r="AN37" s="63">
        <f>VLOOKUP(AN$23,'Neighborhood Inputs'!$C$35:$D$39,2,FALSE)*AN26</f>
        <v>0</v>
      </c>
      <c r="AO37" s="63">
        <f>VLOOKUP(AO$23,'Neighborhood Inputs'!$C$35:$D$39,2,FALSE)*AO26</f>
        <v>0</v>
      </c>
      <c r="AP37" s="63">
        <f>VLOOKUP(AP$23,'Neighborhood Inputs'!$C$35:$D$39,2,FALSE)*AP26</f>
        <v>0</v>
      </c>
      <c r="AQ37" s="72">
        <f t="shared" si="8"/>
        <v>5967.800048023425</v>
      </c>
      <c r="AS37" s="21" t="s">
        <v>91</v>
      </c>
      <c r="AT37" s="63">
        <f>VLOOKUP(AT$23,'Neighborhood Inputs'!$C$35:$D$39,2,FALSE)*AT26</f>
        <v>0</v>
      </c>
      <c r="AU37" s="63">
        <f>VLOOKUP(AU$23,'Neighborhood Inputs'!$C$35:$D$39,2,FALSE)*AU26</f>
        <v>0</v>
      </c>
      <c r="AV37" s="63">
        <f>VLOOKUP(AV$23,'Neighborhood Inputs'!$C$35:$D$39,2,FALSE)*AV26</f>
        <v>0</v>
      </c>
      <c r="AW37" s="63">
        <f>VLOOKUP(AW$23,'Neighborhood Inputs'!$C$35:$D$39,2,FALSE)*AW26</f>
        <v>0</v>
      </c>
      <c r="AX37" s="63">
        <f>VLOOKUP(AX$23,'Neighborhood Inputs'!$C$35:$D$39,2,FALSE)*AX26</f>
        <v>0</v>
      </c>
      <c r="AY37" s="72">
        <f t="shared" si="9"/>
        <v>0</v>
      </c>
      <c r="BA37" s="21" t="s">
        <v>91</v>
      </c>
      <c r="BB37" s="63">
        <f>VLOOKUP(BB$23,'Neighborhood Inputs'!$C$35:$D$39,2,FALSE)*BB26</f>
        <v>18283.260173352854</v>
      </c>
      <c r="BC37" s="63">
        <f>VLOOKUP(BC$23,'Neighborhood Inputs'!$C$35:$D$39,2,FALSE)*BC26</f>
        <v>0</v>
      </c>
      <c r="BD37" s="63">
        <f>VLOOKUP(BD$23,'Neighborhood Inputs'!$C$35:$D$39,2,FALSE)*BD26</f>
        <v>0</v>
      </c>
      <c r="BE37" s="63">
        <f>VLOOKUP(BE$23,'Neighborhood Inputs'!$C$35:$D$39,2,FALSE)*BE26</f>
        <v>0</v>
      </c>
      <c r="BF37" s="63">
        <f>VLOOKUP(BF$23,'Neighborhood Inputs'!$C$35:$D$39,2,FALSE)*BF26</f>
        <v>0</v>
      </c>
      <c r="BG37" s="72">
        <f t="shared" si="10"/>
        <v>18283.260173352854</v>
      </c>
      <c r="BI37" s="21" t="s">
        <v>91</v>
      </c>
      <c r="BJ37" s="63">
        <f>VLOOKUP(BJ$23,'Neighborhood Inputs'!$C$35:$D$39,2,FALSE)*BJ26</f>
        <v>0</v>
      </c>
      <c r="BK37" s="63">
        <f>VLOOKUP(BK$23,'Neighborhood Inputs'!$C$35:$D$39,2,FALSE)*BK26</f>
        <v>0</v>
      </c>
      <c r="BL37" s="63">
        <f>VLOOKUP(BL$23,'Neighborhood Inputs'!$C$35:$D$39,2,FALSE)*BL26</f>
        <v>0</v>
      </c>
      <c r="BM37" s="63">
        <f>VLOOKUP(BM$23,'Neighborhood Inputs'!$C$35:$D$39,2,FALSE)*BM26</f>
        <v>0</v>
      </c>
      <c r="BN37" s="63">
        <f>VLOOKUP(BN$23,'Neighborhood Inputs'!$C$35:$D$39,2,FALSE)*BN26</f>
        <v>0</v>
      </c>
      <c r="BO37" s="72">
        <f t="shared" si="11"/>
        <v>0</v>
      </c>
      <c r="BQ37" s="21" t="s">
        <v>91</v>
      </c>
      <c r="BR37" s="63">
        <f>VLOOKUP(BR$23,'Neighborhood Inputs'!$C$35:$D$39,2,FALSE)*BR26</f>
        <v>0</v>
      </c>
      <c r="BS37" s="63">
        <f>VLOOKUP(BS$23,'Neighborhood Inputs'!$C$35:$D$39,2,FALSE)*BS26</f>
        <v>0</v>
      </c>
      <c r="BT37" s="63">
        <f>VLOOKUP(BT$23,'Neighborhood Inputs'!$C$35:$D$39,2,FALSE)*BT26</f>
        <v>0</v>
      </c>
      <c r="BU37" s="63">
        <f>VLOOKUP(BU$23,'Neighborhood Inputs'!$C$35:$D$39,2,FALSE)*BU26</f>
        <v>0</v>
      </c>
      <c r="BV37" s="63">
        <f>VLOOKUP(BV$23,'Neighborhood Inputs'!$C$35:$D$39,2,FALSE)*BV26</f>
        <v>0</v>
      </c>
      <c r="BW37" s="72">
        <f t="shared" si="12"/>
        <v>0</v>
      </c>
      <c r="BY37" s="21" t="s">
        <v>91</v>
      </c>
      <c r="BZ37" s="63">
        <f>VLOOKUP(BZ$23,'Neighborhood Inputs'!$C$35:$D$39,2,FALSE)*BZ26</f>
        <v>0</v>
      </c>
      <c r="CA37" s="63">
        <f>VLOOKUP(CA$23,'Neighborhood Inputs'!$C$35:$D$39,2,FALSE)*CA26</f>
        <v>0</v>
      </c>
      <c r="CB37" s="63">
        <f>VLOOKUP(CB$23,'Neighborhood Inputs'!$C$35:$D$39,2,FALSE)*CB26</f>
        <v>0</v>
      </c>
      <c r="CC37" s="63">
        <f>VLOOKUP(CC$23,'Neighborhood Inputs'!$C$35:$D$39,2,FALSE)*CC26</f>
        <v>0</v>
      </c>
      <c r="CD37" s="63">
        <f>VLOOKUP(CD$23,'Neighborhood Inputs'!$C$35:$D$39,2,FALSE)*CD26</f>
        <v>0</v>
      </c>
      <c r="CE37" s="72">
        <f t="shared" si="13"/>
        <v>0</v>
      </c>
    </row>
    <row r="38" spans="2:83" x14ac:dyDescent="0.3">
      <c r="B38" s="21" t="s">
        <v>103</v>
      </c>
      <c r="C38" s="63">
        <f t="shared" ca="1" si="4"/>
        <v>8.9717130307467044E-2</v>
      </c>
      <c r="D38" s="63">
        <f t="shared" ca="1" si="4"/>
        <v>1.3371303074670569</v>
      </c>
      <c r="E38" s="63">
        <f t="shared" ca="1" si="4"/>
        <v>18.925138506588578</v>
      </c>
      <c r="F38" s="63">
        <f t="shared" ca="1" si="4"/>
        <v>12.461479355783307</v>
      </c>
      <c r="G38" s="63">
        <f t="shared" ca="1" si="4"/>
        <v>2.3274693997071738</v>
      </c>
      <c r="H38" s="63">
        <f t="shared" ca="1" si="4"/>
        <v>1.7661622254758418</v>
      </c>
      <c r="I38" s="63">
        <f t="shared" ca="1" si="4"/>
        <v>0</v>
      </c>
      <c r="J38" s="63">
        <f t="shared" ca="1" si="4"/>
        <v>0</v>
      </c>
      <c r="K38" s="63">
        <f t="shared" ca="1" si="4"/>
        <v>0</v>
      </c>
      <c r="M38" s="21" t="s">
        <v>103</v>
      </c>
      <c r="N38" s="63">
        <f>VLOOKUP(N$23,'Neighborhood Inputs'!$C$35:$D$39,2,FALSE)*N27</f>
        <v>8.9717130307467044E-2</v>
      </c>
      <c r="O38" s="63">
        <f>VLOOKUP(O$23,'Neighborhood Inputs'!$C$35:$D$39,2,FALSE)*O27</f>
        <v>0</v>
      </c>
      <c r="P38" s="63">
        <f>VLOOKUP(P$23,'Neighborhood Inputs'!$C$35:$D$39,2,FALSE)*P27</f>
        <v>0</v>
      </c>
      <c r="Q38" s="63">
        <f>VLOOKUP(Q$23,'Neighborhood Inputs'!$C$35:$D$39,2,FALSE)*Q27</f>
        <v>0</v>
      </c>
      <c r="R38" s="63">
        <f>VLOOKUP(R$23,'Neighborhood Inputs'!$C$35:$D$39,2,FALSE)*R27</f>
        <v>0</v>
      </c>
      <c r="S38" s="72">
        <f t="shared" si="5"/>
        <v>8.9717130307467044E-2</v>
      </c>
      <c r="U38" s="21" t="s">
        <v>103</v>
      </c>
      <c r="V38" s="63">
        <f>VLOOKUP(V$23,'Neighborhood Inputs'!$C$35:$D$39,2,FALSE)*V27</f>
        <v>1.3371303074670569</v>
      </c>
      <c r="W38" s="63">
        <f>VLOOKUP(W$23,'Neighborhood Inputs'!$C$35:$D$39,2,FALSE)*W27</f>
        <v>0</v>
      </c>
      <c r="X38" s="63">
        <f>VLOOKUP(X$23,'Neighborhood Inputs'!$C$35:$D$39,2,FALSE)*X27</f>
        <v>0</v>
      </c>
      <c r="Y38" s="63">
        <f>VLOOKUP(Y$23,'Neighborhood Inputs'!$C$35:$D$39,2,FALSE)*Y27</f>
        <v>0</v>
      </c>
      <c r="Z38" s="63">
        <f>VLOOKUP(Z$23,'Neighborhood Inputs'!$C$35:$D$39,2,FALSE)*Z27</f>
        <v>0</v>
      </c>
      <c r="AA38" s="72">
        <f t="shared" si="6"/>
        <v>1.3371303074670569</v>
      </c>
      <c r="AC38" s="21" t="s">
        <v>103</v>
      </c>
      <c r="AD38" s="63">
        <f>VLOOKUP(AD$23,'Neighborhood Inputs'!$C$35:$D$39,2,FALSE)*AD27</f>
        <v>18.925138506588578</v>
      </c>
      <c r="AE38" s="63">
        <f>VLOOKUP(AE$23,'Neighborhood Inputs'!$C$35:$D$39,2,FALSE)*AE27</f>
        <v>0</v>
      </c>
      <c r="AF38" s="63">
        <f>VLOOKUP(AF$23,'Neighborhood Inputs'!$C$35:$D$39,2,FALSE)*AF27</f>
        <v>0</v>
      </c>
      <c r="AG38" s="63">
        <f>VLOOKUP(AG$23,'Neighborhood Inputs'!$C$35:$D$39,2,FALSE)*AG27</f>
        <v>0</v>
      </c>
      <c r="AH38" s="63">
        <f>VLOOKUP(AH$23,'Neighborhood Inputs'!$C$35:$D$39,2,FALSE)*AH27</f>
        <v>0</v>
      </c>
      <c r="AI38" s="72">
        <f t="shared" si="7"/>
        <v>18.925138506588578</v>
      </c>
      <c r="AK38" s="21" t="s">
        <v>103</v>
      </c>
      <c r="AL38" s="63">
        <f>VLOOKUP(AL$23,'Neighborhood Inputs'!$C$35:$D$39,2,FALSE)*AL27</f>
        <v>12.461479355783307</v>
      </c>
      <c r="AM38" s="63">
        <f>VLOOKUP(AM$23,'Neighborhood Inputs'!$C$35:$D$39,2,FALSE)*AM27</f>
        <v>0</v>
      </c>
      <c r="AN38" s="63">
        <f>VLOOKUP(AN$23,'Neighborhood Inputs'!$C$35:$D$39,2,FALSE)*AN27</f>
        <v>0</v>
      </c>
      <c r="AO38" s="63">
        <f>VLOOKUP(AO$23,'Neighborhood Inputs'!$C$35:$D$39,2,FALSE)*AO27</f>
        <v>0</v>
      </c>
      <c r="AP38" s="63">
        <f>VLOOKUP(AP$23,'Neighborhood Inputs'!$C$35:$D$39,2,FALSE)*AP27</f>
        <v>0</v>
      </c>
      <c r="AQ38" s="72">
        <f t="shared" si="8"/>
        <v>12.461479355783307</v>
      </c>
      <c r="AS38" s="21" t="s">
        <v>103</v>
      </c>
      <c r="AT38" s="63">
        <f>VLOOKUP(AT$23,'Neighborhood Inputs'!$C$35:$D$39,2,FALSE)*AT27</f>
        <v>2.3274693997071738</v>
      </c>
      <c r="AU38" s="63">
        <f>VLOOKUP(AU$23,'Neighborhood Inputs'!$C$35:$D$39,2,FALSE)*AU27</f>
        <v>0</v>
      </c>
      <c r="AV38" s="63">
        <f>VLOOKUP(AV$23,'Neighborhood Inputs'!$C$35:$D$39,2,FALSE)*AV27</f>
        <v>0</v>
      </c>
      <c r="AW38" s="63">
        <f>VLOOKUP(AW$23,'Neighborhood Inputs'!$C$35:$D$39,2,FALSE)*AW27</f>
        <v>0</v>
      </c>
      <c r="AX38" s="63">
        <f>VLOOKUP(AX$23,'Neighborhood Inputs'!$C$35:$D$39,2,FALSE)*AX27</f>
        <v>0</v>
      </c>
      <c r="AY38" s="72">
        <f t="shared" si="9"/>
        <v>2.3274693997071738</v>
      </c>
      <c r="BA38" s="21" t="s">
        <v>103</v>
      </c>
      <c r="BB38" s="63">
        <f>VLOOKUP(BB$23,'Neighborhood Inputs'!$C$35:$D$39,2,FALSE)*BB27</f>
        <v>1.7661622254758418</v>
      </c>
      <c r="BC38" s="63">
        <f>VLOOKUP(BC$23,'Neighborhood Inputs'!$C$35:$D$39,2,FALSE)*BC27</f>
        <v>0</v>
      </c>
      <c r="BD38" s="63">
        <f>VLOOKUP(BD$23,'Neighborhood Inputs'!$C$35:$D$39,2,FALSE)*BD27</f>
        <v>0</v>
      </c>
      <c r="BE38" s="63">
        <f>VLOOKUP(BE$23,'Neighborhood Inputs'!$C$35:$D$39,2,FALSE)*BE27</f>
        <v>0</v>
      </c>
      <c r="BF38" s="63">
        <f>VLOOKUP(BF$23,'Neighborhood Inputs'!$C$35:$D$39,2,FALSE)*BF27</f>
        <v>0</v>
      </c>
      <c r="BG38" s="72">
        <f t="shared" si="10"/>
        <v>1.7661622254758418</v>
      </c>
      <c r="BI38" s="21" t="s">
        <v>103</v>
      </c>
      <c r="BJ38" s="63">
        <f>VLOOKUP(BJ$23,'Neighborhood Inputs'!$C$35:$D$39,2,FALSE)*BJ27</f>
        <v>0</v>
      </c>
      <c r="BK38" s="63">
        <f>VLOOKUP(BK$23,'Neighborhood Inputs'!$C$35:$D$39,2,FALSE)*BK27</f>
        <v>0</v>
      </c>
      <c r="BL38" s="63">
        <f>VLOOKUP(BL$23,'Neighborhood Inputs'!$C$35:$D$39,2,FALSE)*BL27</f>
        <v>0</v>
      </c>
      <c r="BM38" s="63">
        <f>VLOOKUP(BM$23,'Neighborhood Inputs'!$C$35:$D$39,2,FALSE)*BM27</f>
        <v>0</v>
      </c>
      <c r="BN38" s="63">
        <f>VLOOKUP(BN$23,'Neighborhood Inputs'!$C$35:$D$39,2,FALSE)*BN27</f>
        <v>0</v>
      </c>
      <c r="BO38" s="72">
        <f t="shared" si="11"/>
        <v>0</v>
      </c>
      <c r="BQ38" s="21" t="s">
        <v>103</v>
      </c>
      <c r="BR38" s="63">
        <f>VLOOKUP(BR$23,'Neighborhood Inputs'!$C$35:$D$39,2,FALSE)*BR27</f>
        <v>0</v>
      </c>
      <c r="BS38" s="63">
        <f>VLOOKUP(BS$23,'Neighborhood Inputs'!$C$35:$D$39,2,FALSE)*BS27</f>
        <v>0</v>
      </c>
      <c r="BT38" s="63">
        <f>VLOOKUP(BT$23,'Neighborhood Inputs'!$C$35:$D$39,2,FALSE)*BT27</f>
        <v>0</v>
      </c>
      <c r="BU38" s="63">
        <f>VLOOKUP(BU$23,'Neighborhood Inputs'!$C$35:$D$39,2,FALSE)*BU27</f>
        <v>0</v>
      </c>
      <c r="BV38" s="63">
        <f>VLOOKUP(BV$23,'Neighborhood Inputs'!$C$35:$D$39,2,FALSE)*BV27</f>
        <v>0</v>
      </c>
      <c r="BW38" s="72">
        <f t="shared" si="12"/>
        <v>0</v>
      </c>
      <c r="BY38" s="21" t="s">
        <v>103</v>
      </c>
      <c r="BZ38" s="63">
        <f>VLOOKUP(BZ$23,'Neighborhood Inputs'!$C$35:$D$39,2,FALSE)*BZ27</f>
        <v>0</v>
      </c>
      <c r="CA38" s="63">
        <f>VLOOKUP(CA$23,'Neighborhood Inputs'!$C$35:$D$39,2,FALSE)*CA27</f>
        <v>0</v>
      </c>
      <c r="CB38" s="63">
        <f>VLOOKUP(CB$23,'Neighborhood Inputs'!$C$35:$D$39,2,FALSE)*CB27</f>
        <v>0</v>
      </c>
      <c r="CC38" s="63">
        <f>VLOOKUP(CC$23,'Neighborhood Inputs'!$C$35:$D$39,2,FALSE)*CC27</f>
        <v>0</v>
      </c>
      <c r="CD38" s="63">
        <f>VLOOKUP(CD$23,'Neighborhood Inputs'!$C$35:$D$39,2,FALSE)*CD27</f>
        <v>0</v>
      </c>
      <c r="CE38" s="72">
        <f t="shared" si="13"/>
        <v>0</v>
      </c>
    </row>
    <row r="39" spans="2:83" x14ac:dyDescent="0.3">
      <c r="B39" s="21" t="s">
        <v>102</v>
      </c>
      <c r="C39" s="63">
        <f t="shared" ca="1" si="4"/>
        <v>2177.2811982430449</v>
      </c>
      <c r="D39" s="63">
        <f t="shared" ca="1" si="4"/>
        <v>5482.4309481698383</v>
      </c>
      <c r="E39" s="63">
        <f t="shared" ca="1" si="4"/>
        <v>20963.562891947291</v>
      </c>
      <c r="F39" s="63">
        <f t="shared" ca="1" si="4"/>
        <v>47320.764378330889</v>
      </c>
      <c r="G39" s="63">
        <f t="shared" ca="1" si="4"/>
        <v>66126.950622547578</v>
      </c>
      <c r="H39" s="63">
        <f t="shared" ca="1" si="4"/>
        <v>11362.821781551975</v>
      </c>
      <c r="I39" s="63">
        <f t="shared" ca="1" si="4"/>
        <v>0</v>
      </c>
      <c r="J39" s="63">
        <f t="shared" ca="1" si="4"/>
        <v>0</v>
      </c>
      <c r="K39" s="63">
        <f t="shared" ca="1" si="4"/>
        <v>0</v>
      </c>
      <c r="M39" s="21" t="s">
        <v>102</v>
      </c>
      <c r="N39" s="63">
        <f>VLOOKUP(N$23,'Neighborhood Inputs'!$C$35:$D$39,2,FALSE)*N28</f>
        <v>2177.2811982430449</v>
      </c>
      <c r="O39" s="63">
        <f>VLOOKUP(O$23,'Neighborhood Inputs'!$C$35:$D$39,2,FALSE)*O28</f>
        <v>0</v>
      </c>
      <c r="P39" s="63">
        <f>VLOOKUP(P$23,'Neighborhood Inputs'!$C$35:$D$39,2,FALSE)*P28</f>
        <v>0</v>
      </c>
      <c r="Q39" s="63">
        <f>VLOOKUP(Q$23,'Neighborhood Inputs'!$C$35:$D$39,2,FALSE)*Q28</f>
        <v>0</v>
      </c>
      <c r="R39" s="63">
        <f>VLOOKUP(R$23,'Neighborhood Inputs'!$C$35:$D$39,2,FALSE)*R28</f>
        <v>0</v>
      </c>
      <c r="S39" s="72">
        <f t="shared" si="5"/>
        <v>2177.2811982430449</v>
      </c>
      <c r="U39" s="21" t="s">
        <v>102</v>
      </c>
      <c r="V39" s="63">
        <f>VLOOKUP(V$23,'Neighborhood Inputs'!$C$35:$D$39,2,FALSE)*V28</f>
        <v>5482.4309481698383</v>
      </c>
      <c r="W39" s="63">
        <f>VLOOKUP(W$23,'Neighborhood Inputs'!$C$35:$D$39,2,FALSE)*W28</f>
        <v>0</v>
      </c>
      <c r="X39" s="63">
        <f>VLOOKUP(X$23,'Neighborhood Inputs'!$C$35:$D$39,2,FALSE)*X28</f>
        <v>0</v>
      </c>
      <c r="Y39" s="63">
        <f>VLOOKUP(Y$23,'Neighborhood Inputs'!$C$35:$D$39,2,FALSE)*Y28</f>
        <v>0</v>
      </c>
      <c r="Z39" s="63">
        <f>VLOOKUP(Z$23,'Neighborhood Inputs'!$C$35:$D$39,2,FALSE)*Z28</f>
        <v>0</v>
      </c>
      <c r="AA39" s="72">
        <f t="shared" si="6"/>
        <v>5482.4309481698383</v>
      </c>
      <c r="AC39" s="21" t="s">
        <v>102</v>
      </c>
      <c r="AD39" s="63">
        <f>VLOOKUP(AD$23,'Neighborhood Inputs'!$C$35:$D$39,2,FALSE)*AD28</f>
        <v>20963.562891947291</v>
      </c>
      <c r="AE39" s="63">
        <f>VLOOKUP(AE$23,'Neighborhood Inputs'!$C$35:$D$39,2,FALSE)*AE28</f>
        <v>0</v>
      </c>
      <c r="AF39" s="63">
        <f>VLOOKUP(AF$23,'Neighborhood Inputs'!$C$35:$D$39,2,FALSE)*AF28</f>
        <v>0</v>
      </c>
      <c r="AG39" s="63">
        <f>VLOOKUP(AG$23,'Neighborhood Inputs'!$C$35:$D$39,2,FALSE)*AG28</f>
        <v>0</v>
      </c>
      <c r="AH39" s="63">
        <f>VLOOKUP(AH$23,'Neighborhood Inputs'!$C$35:$D$39,2,FALSE)*AH28</f>
        <v>0</v>
      </c>
      <c r="AI39" s="72">
        <f t="shared" si="7"/>
        <v>20963.562891947291</v>
      </c>
      <c r="AK39" s="21" t="s">
        <v>102</v>
      </c>
      <c r="AL39" s="63">
        <f>VLOOKUP(AL$23,'Neighborhood Inputs'!$C$35:$D$39,2,FALSE)*AL28</f>
        <v>47320.764378330889</v>
      </c>
      <c r="AM39" s="63">
        <f>VLOOKUP(AM$23,'Neighborhood Inputs'!$C$35:$D$39,2,FALSE)*AM28</f>
        <v>0</v>
      </c>
      <c r="AN39" s="63">
        <f>VLOOKUP(AN$23,'Neighborhood Inputs'!$C$35:$D$39,2,FALSE)*AN28</f>
        <v>0</v>
      </c>
      <c r="AO39" s="63">
        <f>VLOOKUP(AO$23,'Neighborhood Inputs'!$C$35:$D$39,2,FALSE)*AO28</f>
        <v>0</v>
      </c>
      <c r="AP39" s="63">
        <f>VLOOKUP(AP$23,'Neighborhood Inputs'!$C$35:$D$39,2,FALSE)*AP28</f>
        <v>0</v>
      </c>
      <c r="AQ39" s="72">
        <f t="shared" si="8"/>
        <v>47320.764378330889</v>
      </c>
      <c r="AS39" s="21" t="s">
        <v>102</v>
      </c>
      <c r="AT39" s="63">
        <f>VLOOKUP(AT$23,'Neighborhood Inputs'!$C$35:$D$39,2,FALSE)*AT28</f>
        <v>66126.950622547578</v>
      </c>
      <c r="AU39" s="63">
        <f>VLOOKUP(AU$23,'Neighborhood Inputs'!$C$35:$D$39,2,FALSE)*AU28</f>
        <v>0</v>
      </c>
      <c r="AV39" s="63">
        <f>VLOOKUP(AV$23,'Neighborhood Inputs'!$C$35:$D$39,2,FALSE)*AV28</f>
        <v>0</v>
      </c>
      <c r="AW39" s="63">
        <f>VLOOKUP(AW$23,'Neighborhood Inputs'!$C$35:$D$39,2,FALSE)*AW28</f>
        <v>0</v>
      </c>
      <c r="AX39" s="63">
        <f>VLOOKUP(AX$23,'Neighborhood Inputs'!$C$35:$D$39,2,FALSE)*AX28</f>
        <v>0</v>
      </c>
      <c r="AY39" s="72">
        <f t="shared" si="9"/>
        <v>66126.950622547578</v>
      </c>
      <c r="BA39" s="21" t="s">
        <v>102</v>
      </c>
      <c r="BB39" s="63">
        <f>VLOOKUP(BB$23,'Neighborhood Inputs'!$C$35:$D$39,2,FALSE)*BB28</f>
        <v>11362.821781551975</v>
      </c>
      <c r="BC39" s="63">
        <f>VLOOKUP(BC$23,'Neighborhood Inputs'!$C$35:$D$39,2,FALSE)*BC28</f>
        <v>0</v>
      </c>
      <c r="BD39" s="63">
        <f>VLOOKUP(BD$23,'Neighborhood Inputs'!$C$35:$D$39,2,FALSE)*BD28</f>
        <v>0</v>
      </c>
      <c r="BE39" s="63">
        <f>VLOOKUP(BE$23,'Neighborhood Inputs'!$C$35:$D$39,2,FALSE)*BE28</f>
        <v>0</v>
      </c>
      <c r="BF39" s="63">
        <f>VLOOKUP(BF$23,'Neighborhood Inputs'!$C$35:$D$39,2,FALSE)*BF28</f>
        <v>0</v>
      </c>
      <c r="BG39" s="72">
        <f t="shared" si="10"/>
        <v>11362.821781551975</v>
      </c>
      <c r="BI39" s="21" t="s">
        <v>102</v>
      </c>
      <c r="BJ39" s="63">
        <f>VLOOKUP(BJ$23,'Neighborhood Inputs'!$C$35:$D$39,2,FALSE)*BJ28</f>
        <v>0</v>
      </c>
      <c r="BK39" s="63">
        <f>VLOOKUP(BK$23,'Neighborhood Inputs'!$C$35:$D$39,2,FALSE)*BK28</f>
        <v>0</v>
      </c>
      <c r="BL39" s="63">
        <f>VLOOKUP(BL$23,'Neighborhood Inputs'!$C$35:$D$39,2,FALSE)*BL28</f>
        <v>0</v>
      </c>
      <c r="BM39" s="63">
        <f>VLOOKUP(BM$23,'Neighborhood Inputs'!$C$35:$D$39,2,FALSE)*BM28</f>
        <v>0</v>
      </c>
      <c r="BN39" s="63">
        <f>VLOOKUP(BN$23,'Neighborhood Inputs'!$C$35:$D$39,2,FALSE)*BN28</f>
        <v>0</v>
      </c>
      <c r="BO39" s="72">
        <f t="shared" si="11"/>
        <v>0</v>
      </c>
      <c r="BQ39" s="21" t="s">
        <v>102</v>
      </c>
      <c r="BR39" s="63">
        <f>VLOOKUP(BR$23,'Neighborhood Inputs'!$C$35:$D$39,2,FALSE)*BR28</f>
        <v>0</v>
      </c>
      <c r="BS39" s="63">
        <f>VLOOKUP(BS$23,'Neighborhood Inputs'!$C$35:$D$39,2,FALSE)*BS28</f>
        <v>0</v>
      </c>
      <c r="BT39" s="63">
        <f>VLOOKUP(BT$23,'Neighborhood Inputs'!$C$35:$D$39,2,FALSE)*BT28</f>
        <v>0</v>
      </c>
      <c r="BU39" s="63">
        <f>VLOOKUP(BU$23,'Neighborhood Inputs'!$C$35:$D$39,2,FALSE)*BU28</f>
        <v>0</v>
      </c>
      <c r="BV39" s="63">
        <f>VLOOKUP(BV$23,'Neighborhood Inputs'!$C$35:$D$39,2,FALSE)*BV28</f>
        <v>0</v>
      </c>
      <c r="BW39" s="72">
        <f t="shared" si="12"/>
        <v>0</v>
      </c>
      <c r="BY39" s="21" t="s">
        <v>102</v>
      </c>
      <c r="BZ39" s="63">
        <f>VLOOKUP(BZ$23,'Neighborhood Inputs'!$C$35:$D$39,2,FALSE)*BZ28</f>
        <v>0</v>
      </c>
      <c r="CA39" s="63">
        <f>VLOOKUP(CA$23,'Neighborhood Inputs'!$C$35:$D$39,2,FALSE)*CA28</f>
        <v>0</v>
      </c>
      <c r="CB39" s="63">
        <f>VLOOKUP(CB$23,'Neighborhood Inputs'!$C$35:$D$39,2,FALSE)*CB28</f>
        <v>0</v>
      </c>
      <c r="CC39" s="63">
        <f>VLOOKUP(CC$23,'Neighborhood Inputs'!$C$35:$D$39,2,FALSE)*CC28</f>
        <v>0</v>
      </c>
      <c r="CD39" s="63">
        <f>VLOOKUP(CD$23,'Neighborhood Inputs'!$C$35:$D$39,2,FALSE)*CD28</f>
        <v>0</v>
      </c>
      <c r="CE39" s="72">
        <f t="shared" si="13"/>
        <v>0</v>
      </c>
    </row>
    <row r="40" spans="2:83" x14ac:dyDescent="0.3">
      <c r="B40" s="21" t="s">
        <v>117</v>
      </c>
      <c r="C40" s="63">
        <f t="shared" ca="1" si="4"/>
        <v>2345.9781587115663</v>
      </c>
      <c r="D40" s="63">
        <f t="shared" ca="1" si="4"/>
        <v>18328.023270278183</v>
      </c>
      <c r="E40" s="63">
        <f t="shared" ca="1" si="4"/>
        <v>26807.234689311856</v>
      </c>
      <c r="F40" s="63">
        <f t="shared" ca="1" si="4"/>
        <v>27976.193111566616</v>
      </c>
      <c r="G40" s="63">
        <f t="shared" ca="1" si="4"/>
        <v>44328.474939970714</v>
      </c>
      <c r="H40" s="63">
        <f t="shared" ca="1" si="4"/>
        <v>18888.184825768665</v>
      </c>
      <c r="I40" s="63">
        <f t="shared" ca="1" si="4"/>
        <v>0</v>
      </c>
      <c r="J40" s="63">
        <f t="shared" ca="1" si="4"/>
        <v>0</v>
      </c>
      <c r="K40" s="63">
        <f t="shared" ca="1" si="4"/>
        <v>0</v>
      </c>
      <c r="M40" s="21" t="s">
        <v>117</v>
      </c>
      <c r="N40" s="63">
        <f>VLOOKUP(N$23,'Neighborhood Inputs'!$C$35:$D$39,2,FALSE)*N29</f>
        <v>2345.9781587115663</v>
      </c>
      <c r="O40" s="63">
        <f>VLOOKUP(O$23,'Neighborhood Inputs'!$C$35:$D$39,2,FALSE)*O29</f>
        <v>0</v>
      </c>
      <c r="P40" s="63">
        <f>VLOOKUP(P$23,'Neighborhood Inputs'!$C$35:$D$39,2,FALSE)*P29</f>
        <v>0</v>
      </c>
      <c r="Q40" s="63">
        <f>VLOOKUP(Q$23,'Neighborhood Inputs'!$C$35:$D$39,2,FALSE)*Q29</f>
        <v>0</v>
      </c>
      <c r="R40" s="63">
        <f>VLOOKUP(R$23,'Neighborhood Inputs'!$C$35:$D$39,2,FALSE)*R29</f>
        <v>0</v>
      </c>
      <c r="S40" s="72">
        <f t="shared" si="5"/>
        <v>2345.9781587115663</v>
      </c>
      <c r="U40" s="21" t="s">
        <v>117</v>
      </c>
      <c r="V40" s="63">
        <f>VLOOKUP(V$23,'Neighborhood Inputs'!$C$35:$D$39,2,FALSE)*V29</f>
        <v>18328.023270278183</v>
      </c>
      <c r="W40" s="63">
        <f>VLOOKUP(W$23,'Neighborhood Inputs'!$C$35:$D$39,2,FALSE)*W29</f>
        <v>0</v>
      </c>
      <c r="X40" s="63">
        <f>VLOOKUP(X$23,'Neighborhood Inputs'!$C$35:$D$39,2,FALSE)*X29</f>
        <v>0</v>
      </c>
      <c r="Y40" s="63">
        <f>VLOOKUP(Y$23,'Neighborhood Inputs'!$C$35:$D$39,2,FALSE)*Y29</f>
        <v>0</v>
      </c>
      <c r="Z40" s="63">
        <f>VLOOKUP(Z$23,'Neighborhood Inputs'!$C$35:$D$39,2,FALSE)*Z29</f>
        <v>0</v>
      </c>
      <c r="AA40" s="72">
        <f t="shared" si="6"/>
        <v>18328.023270278183</v>
      </c>
      <c r="AC40" s="21" t="s">
        <v>117</v>
      </c>
      <c r="AD40" s="63">
        <f>VLOOKUP(AD$23,'Neighborhood Inputs'!$C$35:$D$39,2,FALSE)*AD29</f>
        <v>26807.234689311856</v>
      </c>
      <c r="AE40" s="63">
        <f>VLOOKUP(AE$23,'Neighborhood Inputs'!$C$35:$D$39,2,FALSE)*AE29</f>
        <v>0</v>
      </c>
      <c r="AF40" s="63">
        <f>VLOOKUP(AF$23,'Neighborhood Inputs'!$C$35:$D$39,2,FALSE)*AF29</f>
        <v>0</v>
      </c>
      <c r="AG40" s="63">
        <f>VLOOKUP(AG$23,'Neighborhood Inputs'!$C$35:$D$39,2,FALSE)*AG29</f>
        <v>0</v>
      </c>
      <c r="AH40" s="63">
        <f>VLOOKUP(AH$23,'Neighborhood Inputs'!$C$35:$D$39,2,FALSE)*AH29</f>
        <v>0</v>
      </c>
      <c r="AI40" s="72">
        <f t="shared" si="7"/>
        <v>26807.234689311856</v>
      </c>
      <c r="AK40" s="21" t="s">
        <v>117</v>
      </c>
      <c r="AL40" s="63">
        <f>VLOOKUP(AL$23,'Neighborhood Inputs'!$C$35:$D$39,2,FALSE)*AL29</f>
        <v>27976.193111566616</v>
      </c>
      <c r="AM40" s="63">
        <f>VLOOKUP(AM$23,'Neighborhood Inputs'!$C$35:$D$39,2,FALSE)*AM29</f>
        <v>0</v>
      </c>
      <c r="AN40" s="63">
        <f>VLOOKUP(AN$23,'Neighborhood Inputs'!$C$35:$D$39,2,FALSE)*AN29</f>
        <v>0</v>
      </c>
      <c r="AO40" s="63">
        <f>VLOOKUP(AO$23,'Neighborhood Inputs'!$C$35:$D$39,2,FALSE)*AO29</f>
        <v>0</v>
      </c>
      <c r="AP40" s="63">
        <f>VLOOKUP(AP$23,'Neighborhood Inputs'!$C$35:$D$39,2,FALSE)*AP29</f>
        <v>0</v>
      </c>
      <c r="AQ40" s="72">
        <f t="shared" si="8"/>
        <v>27976.193111566616</v>
      </c>
      <c r="AS40" s="21" t="s">
        <v>117</v>
      </c>
      <c r="AT40" s="63">
        <f>VLOOKUP(AT$23,'Neighborhood Inputs'!$C$35:$D$39,2,FALSE)*AT29</f>
        <v>44328.474939970714</v>
      </c>
      <c r="AU40" s="63">
        <f>VLOOKUP(AU$23,'Neighborhood Inputs'!$C$35:$D$39,2,FALSE)*AU29</f>
        <v>0</v>
      </c>
      <c r="AV40" s="63">
        <f>VLOOKUP(AV$23,'Neighborhood Inputs'!$C$35:$D$39,2,FALSE)*AV29</f>
        <v>0</v>
      </c>
      <c r="AW40" s="63">
        <f>VLOOKUP(AW$23,'Neighborhood Inputs'!$C$35:$D$39,2,FALSE)*AW29</f>
        <v>0</v>
      </c>
      <c r="AX40" s="63">
        <f>VLOOKUP(AX$23,'Neighborhood Inputs'!$C$35:$D$39,2,FALSE)*AX29</f>
        <v>0</v>
      </c>
      <c r="AY40" s="72">
        <f t="shared" si="9"/>
        <v>44328.474939970714</v>
      </c>
      <c r="BA40" s="21" t="s">
        <v>117</v>
      </c>
      <c r="BB40" s="63">
        <f>VLOOKUP(BB$23,'Neighborhood Inputs'!$C$35:$D$39,2,FALSE)*BB29</f>
        <v>18888.184825768665</v>
      </c>
      <c r="BC40" s="63">
        <f>VLOOKUP(BC$23,'Neighborhood Inputs'!$C$35:$D$39,2,FALSE)*BC29</f>
        <v>0</v>
      </c>
      <c r="BD40" s="63">
        <f>VLOOKUP(BD$23,'Neighborhood Inputs'!$C$35:$D$39,2,FALSE)*BD29</f>
        <v>0</v>
      </c>
      <c r="BE40" s="63">
        <f>VLOOKUP(BE$23,'Neighborhood Inputs'!$C$35:$D$39,2,FALSE)*BE29</f>
        <v>0</v>
      </c>
      <c r="BF40" s="63">
        <f>VLOOKUP(BF$23,'Neighborhood Inputs'!$C$35:$D$39,2,FALSE)*BF29</f>
        <v>0</v>
      </c>
      <c r="BG40" s="72">
        <f t="shared" si="10"/>
        <v>18888.184825768665</v>
      </c>
      <c r="BI40" s="21" t="s">
        <v>117</v>
      </c>
      <c r="BJ40" s="63">
        <f>VLOOKUP(BJ$23,'Neighborhood Inputs'!$C$35:$D$39,2,FALSE)*BJ29</f>
        <v>0</v>
      </c>
      <c r="BK40" s="63">
        <f>VLOOKUP(BK$23,'Neighborhood Inputs'!$C$35:$D$39,2,FALSE)*BK29</f>
        <v>0</v>
      </c>
      <c r="BL40" s="63">
        <f>VLOOKUP(BL$23,'Neighborhood Inputs'!$C$35:$D$39,2,FALSE)*BL29</f>
        <v>0</v>
      </c>
      <c r="BM40" s="63">
        <f>VLOOKUP(BM$23,'Neighborhood Inputs'!$C$35:$D$39,2,FALSE)*BM29</f>
        <v>0</v>
      </c>
      <c r="BN40" s="63">
        <f>VLOOKUP(BN$23,'Neighborhood Inputs'!$C$35:$D$39,2,FALSE)*BN29</f>
        <v>0</v>
      </c>
      <c r="BO40" s="72">
        <f t="shared" si="11"/>
        <v>0</v>
      </c>
      <c r="BQ40" s="21" t="s">
        <v>117</v>
      </c>
      <c r="BR40" s="63">
        <f>VLOOKUP(BR$23,'Neighborhood Inputs'!$C$35:$D$39,2,FALSE)*BR29</f>
        <v>0</v>
      </c>
      <c r="BS40" s="63">
        <f>VLOOKUP(BS$23,'Neighborhood Inputs'!$C$35:$D$39,2,FALSE)*BS29</f>
        <v>0</v>
      </c>
      <c r="BT40" s="63">
        <f>VLOOKUP(BT$23,'Neighborhood Inputs'!$C$35:$D$39,2,FALSE)*BT29</f>
        <v>0</v>
      </c>
      <c r="BU40" s="63">
        <f>VLOOKUP(BU$23,'Neighborhood Inputs'!$C$35:$D$39,2,FALSE)*BU29</f>
        <v>0</v>
      </c>
      <c r="BV40" s="63">
        <f>VLOOKUP(BV$23,'Neighborhood Inputs'!$C$35:$D$39,2,FALSE)*BV29</f>
        <v>0</v>
      </c>
      <c r="BW40" s="72">
        <f t="shared" si="12"/>
        <v>0</v>
      </c>
      <c r="BY40" s="21" t="s">
        <v>117</v>
      </c>
      <c r="BZ40" s="63">
        <f>VLOOKUP(BZ$23,'Neighborhood Inputs'!$C$35:$D$39,2,FALSE)*BZ29</f>
        <v>0</v>
      </c>
      <c r="CA40" s="63">
        <f>VLOOKUP(CA$23,'Neighborhood Inputs'!$C$35:$D$39,2,FALSE)*CA29</f>
        <v>0</v>
      </c>
      <c r="CB40" s="63">
        <f>VLOOKUP(CB$23,'Neighborhood Inputs'!$C$35:$D$39,2,FALSE)*CB29</f>
        <v>0</v>
      </c>
      <c r="CC40" s="63">
        <f>VLOOKUP(CC$23,'Neighborhood Inputs'!$C$35:$D$39,2,FALSE)*CC29</f>
        <v>0</v>
      </c>
      <c r="CD40" s="63">
        <f>VLOOKUP(CD$23,'Neighborhood Inputs'!$C$35:$D$39,2,FALSE)*CD29</f>
        <v>0</v>
      </c>
      <c r="CE40" s="72">
        <f t="shared" si="13"/>
        <v>0</v>
      </c>
    </row>
    <row r="41" spans="2:83" x14ac:dyDescent="0.3">
      <c r="B41" s="21" t="s">
        <v>95</v>
      </c>
      <c r="C41" s="63">
        <f t="shared" ca="1" si="4"/>
        <v>102.22674566473988</v>
      </c>
      <c r="D41" s="63">
        <f t="shared" ca="1" si="4"/>
        <v>1283.4104393063585</v>
      </c>
      <c r="E41" s="63">
        <f t="shared" ca="1" si="4"/>
        <v>1611.6821136801541</v>
      </c>
      <c r="F41" s="63">
        <f t="shared" ca="1" si="4"/>
        <v>1684.2719421965317</v>
      </c>
      <c r="G41" s="63">
        <f t="shared" ca="1" si="4"/>
        <v>2651.84121194605</v>
      </c>
      <c r="H41" s="63">
        <f t="shared" ca="1" si="4"/>
        <v>1705.568005780347</v>
      </c>
      <c r="I41" s="63">
        <f t="shared" ca="1" si="4"/>
        <v>0</v>
      </c>
      <c r="J41" s="63">
        <f t="shared" ca="1" si="4"/>
        <v>0</v>
      </c>
      <c r="K41" s="63">
        <f t="shared" ca="1" si="4"/>
        <v>0</v>
      </c>
      <c r="M41" s="21" t="s">
        <v>95</v>
      </c>
      <c r="N41" s="63">
        <f>VLOOKUP(N$23,'Neighborhood Inputs'!$C$35:$D$39,2,FALSE)*N30</f>
        <v>0</v>
      </c>
      <c r="O41" s="63">
        <f>VLOOKUP(O$23,'Neighborhood Inputs'!$C$35:$D$39,2,FALSE)*O30</f>
        <v>102.22674566473988</v>
      </c>
      <c r="P41" s="63">
        <f>VLOOKUP(P$23,'Neighborhood Inputs'!$C$35:$D$39,2,FALSE)*P30</f>
        <v>0</v>
      </c>
      <c r="Q41" s="63">
        <f>VLOOKUP(Q$23,'Neighborhood Inputs'!$C$35:$D$39,2,FALSE)*Q30</f>
        <v>0</v>
      </c>
      <c r="R41" s="63">
        <f>VLOOKUP(R$23,'Neighborhood Inputs'!$C$35:$D$39,2,FALSE)*R30</f>
        <v>0</v>
      </c>
      <c r="S41" s="72">
        <f t="shared" si="5"/>
        <v>102.22674566473988</v>
      </c>
      <c r="U41" s="21" t="s">
        <v>95</v>
      </c>
      <c r="V41" s="63">
        <f>VLOOKUP(V$23,'Neighborhood Inputs'!$C$35:$D$39,2,FALSE)*V30</f>
        <v>0</v>
      </c>
      <c r="W41" s="63">
        <f>VLOOKUP(W$23,'Neighborhood Inputs'!$C$35:$D$39,2,FALSE)*W30</f>
        <v>1283.4104393063585</v>
      </c>
      <c r="X41" s="63">
        <f>VLOOKUP(X$23,'Neighborhood Inputs'!$C$35:$D$39,2,FALSE)*X30</f>
        <v>0</v>
      </c>
      <c r="Y41" s="63">
        <f>VLOOKUP(Y$23,'Neighborhood Inputs'!$C$35:$D$39,2,FALSE)*Y30</f>
        <v>0</v>
      </c>
      <c r="Z41" s="63">
        <f>VLOOKUP(Z$23,'Neighborhood Inputs'!$C$35:$D$39,2,FALSE)*Z30</f>
        <v>0</v>
      </c>
      <c r="AA41" s="72">
        <f t="shared" si="6"/>
        <v>1283.4104393063585</v>
      </c>
      <c r="AC41" s="21" t="s">
        <v>95</v>
      </c>
      <c r="AD41" s="63">
        <f>VLOOKUP(AD$23,'Neighborhood Inputs'!$C$35:$D$39,2,FALSE)*AD30</f>
        <v>0</v>
      </c>
      <c r="AE41" s="63">
        <f>VLOOKUP(AE$23,'Neighborhood Inputs'!$C$35:$D$39,2,FALSE)*AE30</f>
        <v>1611.6821136801541</v>
      </c>
      <c r="AF41" s="63">
        <f>VLOOKUP(AF$23,'Neighborhood Inputs'!$C$35:$D$39,2,FALSE)*AF30</f>
        <v>0</v>
      </c>
      <c r="AG41" s="63">
        <f>VLOOKUP(AG$23,'Neighborhood Inputs'!$C$35:$D$39,2,FALSE)*AG30</f>
        <v>0</v>
      </c>
      <c r="AH41" s="63">
        <f>VLOOKUP(AH$23,'Neighborhood Inputs'!$C$35:$D$39,2,FALSE)*AH30</f>
        <v>0</v>
      </c>
      <c r="AI41" s="72">
        <f t="shared" si="7"/>
        <v>1611.6821136801541</v>
      </c>
      <c r="AK41" s="21" t="s">
        <v>95</v>
      </c>
      <c r="AL41" s="63">
        <f>VLOOKUP(AL$23,'Neighborhood Inputs'!$C$35:$D$39,2,FALSE)*AL30</f>
        <v>0</v>
      </c>
      <c r="AM41" s="63">
        <f>VLOOKUP(AM$23,'Neighborhood Inputs'!$C$35:$D$39,2,FALSE)*AM30</f>
        <v>1684.2719421965317</v>
      </c>
      <c r="AN41" s="63">
        <f>VLOOKUP(AN$23,'Neighborhood Inputs'!$C$35:$D$39,2,FALSE)*AN30</f>
        <v>0</v>
      </c>
      <c r="AO41" s="63">
        <f>VLOOKUP(AO$23,'Neighborhood Inputs'!$C$35:$D$39,2,FALSE)*AO30</f>
        <v>0</v>
      </c>
      <c r="AP41" s="63">
        <f>VLOOKUP(AP$23,'Neighborhood Inputs'!$C$35:$D$39,2,FALSE)*AP30</f>
        <v>0</v>
      </c>
      <c r="AQ41" s="72">
        <f t="shared" si="8"/>
        <v>1684.2719421965317</v>
      </c>
      <c r="AS41" s="21" t="s">
        <v>95</v>
      </c>
      <c r="AT41" s="63">
        <f>VLOOKUP(AT$23,'Neighborhood Inputs'!$C$35:$D$39,2,FALSE)*AT30</f>
        <v>0</v>
      </c>
      <c r="AU41" s="63">
        <f>VLOOKUP(AU$23,'Neighborhood Inputs'!$C$35:$D$39,2,FALSE)*AU30</f>
        <v>2651.84121194605</v>
      </c>
      <c r="AV41" s="63">
        <f>VLOOKUP(AV$23,'Neighborhood Inputs'!$C$35:$D$39,2,FALSE)*AV30</f>
        <v>0</v>
      </c>
      <c r="AW41" s="63">
        <f>VLOOKUP(AW$23,'Neighborhood Inputs'!$C$35:$D$39,2,FALSE)*AW30</f>
        <v>0</v>
      </c>
      <c r="AX41" s="63">
        <f>VLOOKUP(AX$23,'Neighborhood Inputs'!$C$35:$D$39,2,FALSE)*AX30</f>
        <v>0</v>
      </c>
      <c r="AY41" s="72">
        <f t="shared" si="9"/>
        <v>2651.84121194605</v>
      </c>
      <c r="BA41" s="21" t="s">
        <v>95</v>
      </c>
      <c r="BB41" s="63">
        <f>VLOOKUP(BB$23,'Neighborhood Inputs'!$C$35:$D$39,2,FALSE)*BB30</f>
        <v>0</v>
      </c>
      <c r="BC41" s="63">
        <f>VLOOKUP(BC$23,'Neighborhood Inputs'!$C$35:$D$39,2,FALSE)*BC30</f>
        <v>1705.568005780347</v>
      </c>
      <c r="BD41" s="63">
        <f>VLOOKUP(BD$23,'Neighborhood Inputs'!$C$35:$D$39,2,FALSE)*BD30</f>
        <v>0</v>
      </c>
      <c r="BE41" s="63">
        <f>VLOOKUP(BE$23,'Neighborhood Inputs'!$C$35:$D$39,2,FALSE)*BE30</f>
        <v>0</v>
      </c>
      <c r="BF41" s="63">
        <f>VLOOKUP(BF$23,'Neighborhood Inputs'!$C$35:$D$39,2,FALSE)*BF30</f>
        <v>0</v>
      </c>
      <c r="BG41" s="72">
        <f t="shared" si="10"/>
        <v>1705.568005780347</v>
      </c>
      <c r="BI41" s="21" t="s">
        <v>95</v>
      </c>
      <c r="BJ41" s="63">
        <f>VLOOKUP(BJ$23,'Neighborhood Inputs'!$C$35:$D$39,2,FALSE)*BJ30</f>
        <v>0</v>
      </c>
      <c r="BK41" s="63">
        <f>VLOOKUP(BK$23,'Neighborhood Inputs'!$C$35:$D$39,2,FALSE)*BK30</f>
        <v>0</v>
      </c>
      <c r="BL41" s="63">
        <f>VLOOKUP(BL$23,'Neighborhood Inputs'!$C$35:$D$39,2,FALSE)*BL30</f>
        <v>0</v>
      </c>
      <c r="BM41" s="63">
        <f>VLOOKUP(BM$23,'Neighborhood Inputs'!$C$35:$D$39,2,FALSE)*BM30</f>
        <v>0</v>
      </c>
      <c r="BN41" s="63">
        <f>VLOOKUP(BN$23,'Neighborhood Inputs'!$C$35:$D$39,2,FALSE)*BN30</f>
        <v>0</v>
      </c>
      <c r="BO41" s="72">
        <f t="shared" si="11"/>
        <v>0</v>
      </c>
      <c r="BQ41" s="21" t="s">
        <v>95</v>
      </c>
      <c r="BR41" s="63">
        <f>VLOOKUP(BR$23,'Neighborhood Inputs'!$C$35:$D$39,2,FALSE)*BR30</f>
        <v>0</v>
      </c>
      <c r="BS41" s="63">
        <f>VLOOKUP(BS$23,'Neighborhood Inputs'!$C$35:$D$39,2,FALSE)*BS30</f>
        <v>0</v>
      </c>
      <c r="BT41" s="63">
        <f>VLOOKUP(BT$23,'Neighborhood Inputs'!$C$35:$D$39,2,FALSE)*BT30</f>
        <v>0</v>
      </c>
      <c r="BU41" s="63">
        <f>VLOOKUP(BU$23,'Neighborhood Inputs'!$C$35:$D$39,2,FALSE)*BU30</f>
        <v>0</v>
      </c>
      <c r="BV41" s="63">
        <f>VLOOKUP(BV$23,'Neighborhood Inputs'!$C$35:$D$39,2,FALSE)*BV30</f>
        <v>0</v>
      </c>
      <c r="BW41" s="72">
        <f t="shared" si="12"/>
        <v>0</v>
      </c>
      <c r="BY41" s="21" t="s">
        <v>95</v>
      </c>
      <c r="BZ41" s="63">
        <f>VLOOKUP(BZ$23,'Neighborhood Inputs'!$C$35:$D$39,2,FALSE)*BZ30</f>
        <v>0</v>
      </c>
      <c r="CA41" s="63">
        <f>VLOOKUP(CA$23,'Neighborhood Inputs'!$C$35:$D$39,2,FALSE)*CA30</f>
        <v>0</v>
      </c>
      <c r="CB41" s="63">
        <f>VLOOKUP(CB$23,'Neighborhood Inputs'!$C$35:$D$39,2,FALSE)*CB30</f>
        <v>0</v>
      </c>
      <c r="CC41" s="63">
        <f>VLOOKUP(CC$23,'Neighborhood Inputs'!$C$35:$D$39,2,FALSE)*CC30</f>
        <v>0</v>
      </c>
      <c r="CD41" s="63">
        <f>VLOOKUP(CD$23,'Neighborhood Inputs'!$C$35:$D$39,2,FALSE)*CD30</f>
        <v>0</v>
      </c>
      <c r="CE41" s="72">
        <f t="shared" si="13"/>
        <v>0</v>
      </c>
    </row>
    <row r="42" spans="2:83" ht="12.9" thickBot="1" x14ac:dyDescent="0.35">
      <c r="B42" s="92" t="s">
        <v>120</v>
      </c>
      <c r="C42" s="106">
        <f t="shared" ca="1" si="4"/>
        <v>12232.164060595751</v>
      </c>
      <c r="D42" s="106">
        <f t="shared" ca="1" si="4"/>
        <v>55560.638854874072</v>
      </c>
      <c r="E42" s="106">
        <f t="shared" ca="1" si="4"/>
        <v>91806.655733483974</v>
      </c>
      <c r="F42" s="106">
        <f t="shared" ca="1" si="4"/>
        <v>108652.43243292907</v>
      </c>
      <c r="G42" s="106">
        <f t="shared" ca="1" si="4"/>
        <v>159757.74725566452</v>
      </c>
      <c r="H42" s="106">
        <f t="shared" ca="1" si="4"/>
        <v>93844.54942686492</v>
      </c>
      <c r="I42" s="106">
        <f t="shared" ca="1" si="4"/>
        <v>0</v>
      </c>
      <c r="J42" s="106">
        <f t="shared" ca="1" si="4"/>
        <v>0</v>
      </c>
      <c r="K42" s="106">
        <f t="shared" ca="1" si="4"/>
        <v>0</v>
      </c>
      <c r="M42" s="92" t="s">
        <v>120</v>
      </c>
      <c r="N42" s="63">
        <f>VLOOKUP(N23,'Neighborhood Inputs'!$C$35:$D$39,2,FALSE)*N31</f>
        <v>9423.1937850658851</v>
      </c>
      <c r="O42" s="63">
        <f>VLOOKUP(O23,'Neighborhood Inputs'!$C$35:$D$39,2,FALSE)*O31</f>
        <v>2808.9702755298649</v>
      </c>
      <c r="P42" s="63">
        <f>VLOOKUP(P23,'Neighborhood Inputs'!$C$35:$D$39,2,FALSE)*P31</f>
        <v>0</v>
      </c>
      <c r="Q42" s="63">
        <f>VLOOKUP(Q23,'Neighborhood Inputs'!$C$35:$D$39,2,FALSE)*Q31</f>
        <v>0</v>
      </c>
      <c r="R42" s="63">
        <f>VLOOKUP(R23,'Neighborhood Inputs'!$C$35:$D$39,2,FALSE)*R31</f>
        <v>0</v>
      </c>
      <c r="S42" s="72">
        <f t="shared" si="5"/>
        <v>12232.164060595751</v>
      </c>
      <c r="U42" s="92" t="s">
        <v>120</v>
      </c>
      <c r="V42" s="63">
        <f>VLOOKUP(V23,'Neighborhood Inputs'!$C$35:$D$39,2,FALSE)*V31</f>
        <v>45813.072604392379</v>
      </c>
      <c r="W42" s="63">
        <f>VLOOKUP(W23,'Neighborhood Inputs'!$C$35:$D$39,2,FALSE)*W31</f>
        <v>9747.5662504816955</v>
      </c>
      <c r="X42" s="63">
        <f>VLOOKUP(X23,'Neighborhood Inputs'!$C$35:$D$39,2,FALSE)*X31</f>
        <v>0</v>
      </c>
      <c r="Y42" s="63">
        <f>VLOOKUP(Y23,'Neighborhood Inputs'!$C$35:$D$39,2,FALSE)*Y31</f>
        <v>0</v>
      </c>
      <c r="Z42" s="63">
        <f>VLOOKUP(Z23,'Neighborhood Inputs'!$C$35:$D$39,2,FALSE)*Z31</f>
        <v>0</v>
      </c>
      <c r="AA42" s="72">
        <f t="shared" si="6"/>
        <v>55560.638854874072</v>
      </c>
      <c r="AC42" s="92" t="s">
        <v>120</v>
      </c>
      <c r="AD42" s="63">
        <f>VLOOKUP(AD23,'Neighborhood Inputs'!$C$35:$D$39,2,FALSE)*AD31</f>
        <v>77536.351122693988</v>
      </c>
      <c r="AE42" s="63">
        <f>VLOOKUP(AE23,'Neighborhood Inputs'!$C$35:$D$39,2,FALSE)*AE31</f>
        <v>14270.304610789981</v>
      </c>
      <c r="AF42" s="63">
        <f>VLOOKUP(AF23,'Neighborhood Inputs'!$C$35:$D$39,2,FALSE)*AF31</f>
        <v>0</v>
      </c>
      <c r="AG42" s="63">
        <f>VLOOKUP(AG23,'Neighborhood Inputs'!$C$35:$D$39,2,FALSE)*AG31</f>
        <v>0</v>
      </c>
      <c r="AH42" s="63">
        <f>VLOOKUP(AH23,'Neighborhood Inputs'!$C$35:$D$39,2,FALSE)*AH31</f>
        <v>0</v>
      </c>
      <c r="AI42" s="72">
        <f t="shared" si="7"/>
        <v>91806.655733483974</v>
      </c>
      <c r="AK42" s="92" t="s">
        <v>120</v>
      </c>
      <c r="AL42" s="63">
        <f>VLOOKUP(AL23,'Neighborhood Inputs'!$C$35:$D$39,2,FALSE)*AL31</f>
        <v>95732.156072620783</v>
      </c>
      <c r="AM42" s="63">
        <f>VLOOKUP(AM23,'Neighborhood Inputs'!$C$35:$D$39,2,FALSE)*AM31</f>
        <v>12920.276360308284</v>
      </c>
      <c r="AN42" s="63">
        <f>VLOOKUP(AN23,'Neighborhood Inputs'!$C$35:$D$39,2,FALSE)*AN31</f>
        <v>0</v>
      </c>
      <c r="AO42" s="63">
        <f>VLOOKUP(AO23,'Neighborhood Inputs'!$C$35:$D$39,2,FALSE)*AO31</f>
        <v>0</v>
      </c>
      <c r="AP42" s="63">
        <f>VLOOKUP(AP23,'Neighborhood Inputs'!$C$35:$D$39,2,FALSE)*AP31</f>
        <v>0</v>
      </c>
      <c r="AQ42" s="72">
        <f t="shared" si="8"/>
        <v>108652.43243292907</v>
      </c>
      <c r="AS42" s="92" t="s">
        <v>120</v>
      </c>
      <c r="AT42" s="63">
        <f>VLOOKUP(AT23,'Neighborhood Inputs'!$C$35:$D$39,2,FALSE)*AT31</f>
        <v>133359.0109762811</v>
      </c>
      <c r="AU42" s="63">
        <f>VLOOKUP(AU23,'Neighborhood Inputs'!$C$35:$D$39,2,FALSE)*AU31</f>
        <v>26398.736279383429</v>
      </c>
      <c r="AV42" s="63">
        <f>VLOOKUP(AV23,'Neighborhood Inputs'!$C$35:$D$39,2,FALSE)*AV31</f>
        <v>0</v>
      </c>
      <c r="AW42" s="63">
        <f>VLOOKUP(AW23,'Neighborhood Inputs'!$C$35:$D$39,2,FALSE)*AW31</f>
        <v>0</v>
      </c>
      <c r="AX42" s="63">
        <f>VLOOKUP(AX23,'Neighborhood Inputs'!$C$35:$D$39,2,FALSE)*AX31</f>
        <v>0</v>
      </c>
      <c r="AY42" s="72">
        <f t="shared" si="9"/>
        <v>159757.74725566452</v>
      </c>
      <c r="BA42" s="92" t="s">
        <v>120</v>
      </c>
      <c r="BB42" s="63">
        <f>VLOOKUP(BB23,'Neighborhood Inputs'!$C$35:$D$39,2,FALSE)*BB31</f>
        <v>76449.688613762803</v>
      </c>
      <c r="BC42" s="63">
        <f>VLOOKUP(BC23,'Neighborhood Inputs'!$C$35:$D$39,2,FALSE)*BC31</f>
        <v>17394.860813102121</v>
      </c>
      <c r="BD42" s="63">
        <f>VLOOKUP(BD23,'Neighborhood Inputs'!$C$35:$D$39,2,FALSE)*BD31</f>
        <v>0</v>
      </c>
      <c r="BE42" s="63">
        <f>VLOOKUP(BE23,'Neighborhood Inputs'!$C$35:$D$39,2,FALSE)*BE31</f>
        <v>0</v>
      </c>
      <c r="BF42" s="63">
        <f>VLOOKUP(BF23,'Neighborhood Inputs'!$C$35:$D$39,2,FALSE)*BF31</f>
        <v>0</v>
      </c>
      <c r="BG42" s="72">
        <f t="shared" si="10"/>
        <v>93844.54942686492</v>
      </c>
      <c r="BI42" s="92" t="s">
        <v>120</v>
      </c>
      <c r="BJ42" s="63">
        <f>VLOOKUP(BJ23,'Neighborhood Inputs'!$C$35:$D$39,2,FALSE)*BJ31</f>
        <v>0</v>
      </c>
      <c r="BK42" s="63">
        <f>VLOOKUP(BK23,'Neighborhood Inputs'!$C$35:$D$39,2,FALSE)*BK31</f>
        <v>0</v>
      </c>
      <c r="BL42" s="63">
        <f>VLOOKUP(BL23,'Neighborhood Inputs'!$C$35:$D$39,2,FALSE)*BL31</f>
        <v>0</v>
      </c>
      <c r="BM42" s="63">
        <f>VLOOKUP(BM23,'Neighborhood Inputs'!$C$35:$D$39,2,FALSE)*BM31</f>
        <v>0</v>
      </c>
      <c r="BN42" s="63">
        <f>VLOOKUP(BN23,'Neighborhood Inputs'!$C$35:$D$39,2,FALSE)*BN31</f>
        <v>0</v>
      </c>
      <c r="BO42" s="72">
        <f t="shared" si="11"/>
        <v>0</v>
      </c>
      <c r="BQ42" s="92" t="s">
        <v>120</v>
      </c>
      <c r="BR42" s="63">
        <f>VLOOKUP(BR23,'Neighborhood Inputs'!$C$35:$D$39,2,FALSE)*BR31</f>
        <v>0</v>
      </c>
      <c r="BS42" s="63">
        <f>VLOOKUP(BS23,'Neighborhood Inputs'!$C$35:$D$39,2,FALSE)*BS31</f>
        <v>0</v>
      </c>
      <c r="BT42" s="63">
        <f>VLOOKUP(BT23,'Neighborhood Inputs'!$C$35:$D$39,2,FALSE)*BT31</f>
        <v>0</v>
      </c>
      <c r="BU42" s="63">
        <f>VLOOKUP(BU23,'Neighborhood Inputs'!$C$35:$D$39,2,FALSE)*BU31</f>
        <v>0</v>
      </c>
      <c r="BV42" s="63">
        <f>VLOOKUP(BV23,'Neighborhood Inputs'!$C$35:$D$39,2,FALSE)*BV31</f>
        <v>0</v>
      </c>
      <c r="BW42" s="72">
        <f t="shared" si="12"/>
        <v>0</v>
      </c>
      <c r="BY42" s="92" t="s">
        <v>120</v>
      </c>
      <c r="BZ42" s="63">
        <f>VLOOKUP(BZ23,'Neighborhood Inputs'!$C$35:$D$39,2,FALSE)*BZ31</f>
        <v>0</v>
      </c>
      <c r="CA42" s="63">
        <f>VLOOKUP(CA23,'Neighborhood Inputs'!$C$35:$D$39,2,FALSE)*CA31</f>
        <v>0</v>
      </c>
      <c r="CB42" s="63">
        <f>VLOOKUP(CB23,'Neighborhood Inputs'!$C$35:$D$39,2,FALSE)*CB31</f>
        <v>0</v>
      </c>
      <c r="CC42" s="63">
        <f>VLOOKUP(CC23,'Neighborhood Inputs'!$C$35:$D$39,2,FALSE)*CC31</f>
        <v>0</v>
      </c>
      <c r="CD42" s="63">
        <f>VLOOKUP(CD23,'Neighborhood Inputs'!$C$35:$D$39,2,FALSE)*CD31</f>
        <v>0</v>
      </c>
      <c r="CE42" s="72">
        <f t="shared" si="13"/>
        <v>0</v>
      </c>
    </row>
    <row r="43" spans="2:83" x14ac:dyDescent="0.3">
      <c r="C43" s="656" t="s">
        <v>119</v>
      </c>
      <c r="D43" s="107">
        <f ca="1">$C$42-D42</f>
        <v>-43328.474794278321</v>
      </c>
      <c r="E43" s="107">
        <f t="shared" ref="E43:K43" ca="1" si="14">$C$42-E42</f>
        <v>-79574.491672888224</v>
      </c>
      <c r="F43" s="107">
        <f t="shared" ca="1" si="14"/>
        <v>-96420.268372333318</v>
      </c>
      <c r="G43" s="107">
        <f t="shared" ca="1" si="14"/>
        <v>-147525.58319506876</v>
      </c>
      <c r="H43" s="107">
        <f t="shared" ca="1" si="14"/>
        <v>-81612.385366269169</v>
      </c>
      <c r="I43" s="107">
        <f t="shared" ca="1" si="14"/>
        <v>12232.164060595751</v>
      </c>
      <c r="J43" s="107">
        <f t="shared" ca="1" si="14"/>
        <v>12232.164060595751</v>
      </c>
      <c r="K43" s="107">
        <f t="shared" ca="1" si="14"/>
        <v>12232.164060595751</v>
      </c>
      <c r="L43" s="107"/>
    </row>
    <row r="44" spans="2:83" ht="12.9" thickBot="1" x14ac:dyDescent="0.35">
      <c r="B44" s="20"/>
      <c r="C44" s="657"/>
      <c r="D44" s="126">
        <f t="shared" ref="D44:K44" ca="1" si="15">1-D42/$C$42</f>
        <v>-3.5421757409104</v>
      </c>
      <c r="E44" s="126">
        <f t="shared" ca="1" si="15"/>
        <v>-6.5053486266773186</v>
      </c>
      <c r="F44" s="126">
        <f t="shared" ca="1" si="15"/>
        <v>-7.8825192251089948</v>
      </c>
      <c r="G44" s="126">
        <f t="shared" ca="1" si="15"/>
        <v>-12.060464727603051</v>
      </c>
      <c r="H44" s="126">
        <f t="shared" ca="1" si="15"/>
        <v>-6.6719498661052414</v>
      </c>
      <c r="I44" s="126">
        <f t="shared" ca="1" si="15"/>
        <v>1</v>
      </c>
      <c r="J44" s="126">
        <f t="shared" ca="1" si="15"/>
        <v>1</v>
      </c>
      <c r="K44" s="126">
        <f t="shared" ca="1" si="15"/>
        <v>1</v>
      </c>
    </row>
    <row r="45" spans="2:83" x14ac:dyDescent="0.3">
      <c r="L45" s="20"/>
    </row>
    <row r="46" spans="2:83" ht="12.9" thickBot="1" x14ac:dyDescent="0.35">
      <c r="B46" s="94" t="s">
        <v>121</v>
      </c>
      <c r="C46" s="105">
        <f t="shared" ref="C46:K46" ca="1" si="16">OFFSET($M46,0,(6+8*C$22))</f>
        <v>50.158017955321405</v>
      </c>
      <c r="D46" s="105">
        <f t="shared" ca="1" si="16"/>
        <v>217.63007206024122</v>
      </c>
      <c r="E46" s="105">
        <f t="shared" ca="1" si="16"/>
        <v>353.38731487924997</v>
      </c>
      <c r="F46" s="105">
        <f t="shared" ca="1" si="16"/>
        <v>404.79324078224238</v>
      </c>
      <c r="G46" s="105">
        <f t="shared" ca="1" si="16"/>
        <v>620.25178056972106</v>
      </c>
      <c r="H46" s="105">
        <f t="shared" ca="1" si="16"/>
        <v>370.73914044066873</v>
      </c>
      <c r="I46" s="105">
        <f t="shared" ca="1" si="16"/>
        <v>0</v>
      </c>
      <c r="J46" s="105">
        <f t="shared" ca="1" si="16"/>
        <v>0</v>
      </c>
      <c r="K46" s="105">
        <f t="shared" ca="1" si="16"/>
        <v>0</v>
      </c>
      <c r="M46" s="94" t="s">
        <v>121</v>
      </c>
      <c r="N46" s="16">
        <f>VLOOKUP(N$23,'Neighborhood Inputs'!$C$42:$E$46,3,FALSE)*N31</f>
        <v>31.312567865321405</v>
      </c>
      <c r="O46" s="16">
        <f>VLOOKUP(O$23,'Neighborhood Inputs'!$C$42:$E$46,3,FALSE)*O31</f>
        <v>18.84545009</v>
      </c>
      <c r="P46" s="16">
        <f>VLOOKUP(P$23,'Neighborhood Inputs'!$C$42:$E$46,3,FALSE)*P31</f>
        <v>0</v>
      </c>
      <c r="Q46" s="16">
        <f>VLOOKUP(Q$23,'Neighborhood Inputs'!$C$42:$E$46,3,FALSE)*Q31</f>
        <v>0</v>
      </c>
      <c r="R46" s="16">
        <f>VLOOKUP(R$23,'Neighborhood Inputs'!$C$42:$E$46,3,FALSE)*R31</f>
        <v>0</v>
      </c>
      <c r="S46" s="95">
        <f t="shared" ref="S46" si="17">SUMIF(N46:R46,"&lt;&gt;#N/A")</f>
        <v>50.158017955321405</v>
      </c>
      <c r="U46" s="94" t="s">
        <v>121</v>
      </c>
      <c r="V46" s="16">
        <f>VLOOKUP(V$23,'Neighborhood Inputs'!$C$42:$E$46,3,FALSE)*V31</f>
        <v>152.23341234024122</v>
      </c>
      <c r="W46" s="16">
        <f>VLOOKUP(W$23,'Neighborhood Inputs'!$C$42:$E$46,3,FALSE)*W31</f>
        <v>65.396659720000002</v>
      </c>
      <c r="X46" s="16">
        <f>VLOOKUP(X$23,'Neighborhood Inputs'!$C$42:$E$46,3,FALSE)*X31</f>
        <v>0</v>
      </c>
      <c r="Y46" s="16">
        <f>VLOOKUP(Y$23,'Neighborhood Inputs'!$C$42:$E$46,3,FALSE)*Y31</f>
        <v>0</v>
      </c>
      <c r="Z46" s="16">
        <f>VLOOKUP(Z$23,'Neighborhood Inputs'!$C$42:$E$46,3,FALSE)*Z31</f>
        <v>0</v>
      </c>
      <c r="AA46" s="95">
        <f t="shared" ref="AA46" si="18">SUMIF(V46:Z46,"&lt;&gt;#N/A")</f>
        <v>217.63007206024122</v>
      </c>
      <c r="AC46" s="94" t="s">
        <v>121</v>
      </c>
      <c r="AD46" s="16">
        <f>VLOOKUP(AD$23,'Neighborhood Inputs'!$C$42:$E$46,3,FALSE)*AD31</f>
        <v>257.64749318924999</v>
      </c>
      <c r="AE46" s="16">
        <f>VLOOKUP(AE$23,'Neighborhood Inputs'!$C$42:$E$46,3,FALSE)*AE31</f>
        <v>95.739821689999999</v>
      </c>
      <c r="AF46" s="16">
        <f>VLOOKUP(AF$23,'Neighborhood Inputs'!$C$42:$E$46,3,FALSE)*AF31</f>
        <v>0</v>
      </c>
      <c r="AG46" s="16">
        <f>VLOOKUP(AG$23,'Neighborhood Inputs'!$C$42:$E$46,3,FALSE)*AG31</f>
        <v>0</v>
      </c>
      <c r="AH46" s="16">
        <f>VLOOKUP(AH$23,'Neighborhood Inputs'!$C$42:$E$46,3,FALSE)*AH31</f>
        <v>0</v>
      </c>
      <c r="AI46" s="95">
        <f t="shared" ref="AI46" si="19">SUMIF(AD46:AH46,"&lt;&gt;#N/A")</f>
        <v>353.38731487924997</v>
      </c>
      <c r="AK46" s="94" t="s">
        <v>121</v>
      </c>
      <c r="AL46" s="16">
        <f>VLOOKUP(AL$23,'Neighborhood Inputs'!$C$42:$E$46,3,FALSE)*AL31</f>
        <v>318.11079155224235</v>
      </c>
      <c r="AM46" s="16">
        <f>VLOOKUP(AM$23,'Neighborhood Inputs'!$C$42:$E$46,3,FALSE)*AM31</f>
        <v>86.682449230000003</v>
      </c>
      <c r="AN46" s="16">
        <f>VLOOKUP(AN$23,'Neighborhood Inputs'!$C$42:$E$46,3,FALSE)*AN31</f>
        <v>0</v>
      </c>
      <c r="AO46" s="16">
        <f>VLOOKUP(AO$23,'Neighborhood Inputs'!$C$42:$E$46,3,FALSE)*AO31</f>
        <v>0</v>
      </c>
      <c r="AP46" s="16">
        <f>VLOOKUP(AP$23,'Neighborhood Inputs'!$C$42:$E$46,3,FALSE)*AP31</f>
        <v>0</v>
      </c>
      <c r="AQ46" s="95">
        <f t="shared" ref="AQ46" si="20">SUMIF(AL46:AP46,"&lt;&gt;#N/A")</f>
        <v>404.79324078224238</v>
      </c>
      <c r="AS46" s="94" t="s">
        <v>121</v>
      </c>
      <c r="AT46" s="16">
        <f>VLOOKUP(AT$23,'Neighborhood Inputs'!$C$42:$E$46,3,FALSE)*AT31</f>
        <v>443.14201499972103</v>
      </c>
      <c r="AU46" s="16">
        <f>VLOOKUP(AU$23,'Neighborhood Inputs'!$C$42:$E$46,3,FALSE)*AU31</f>
        <v>177.10976557000001</v>
      </c>
      <c r="AV46" s="16">
        <f>VLOOKUP(AV$23,'Neighborhood Inputs'!$C$42:$E$46,3,FALSE)*AV31</f>
        <v>0</v>
      </c>
      <c r="AW46" s="16">
        <f>VLOOKUP(AW$23,'Neighborhood Inputs'!$C$42:$E$46,3,FALSE)*AW31</f>
        <v>0</v>
      </c>
      <c r="AX46" s="16">
        <f>VLOOKUP(AX$23,'Neighborhood Inputs'!$C$42:$E$46,3,FALSE)*AX31</f>
        <v>0</v>
      </c>
      <c r="AY46" s="95">
        <f t="shared" ref="AY46" si="21">SUMIF(AT46:AX46,"&lt;&gt;#N/A")</f>
        <v>620.25178056972106</v>
      </c>
      <c r="BA46" s="94" t="s">
        <v>121</v>
      </c>
      <c r="BB46" s="16">
        <f>VLOOKUP(BB$23,'Neighborhood Inputs'!$C$42:$E$46,3,FALSE)*BB31</f>
        <v>254.03659498066872</v>
      </c>
      <c r="BC46" s="16">
        <f>VLOOKUP(BC$23,'Neighborhood Inputs'!$C$42:$E$46,3,FALSE)*BC31</f>
        <v>116.70254546000002</v>
      </c>
      <c r="BD46" s="16">
        <f>VLOOKUP(BD$23,'Neighborhood Inputs'!$C$42:$E$46,3,FALSE)*BD31</f>
        <v>0</v>
      </c>
      <c r="BE46" s="16">
        <f>VLOOKUP(BE$23,'Neighborhood Inputs'!$C$42:$E$46,3,FALSE)*BE31</f>
        <v>0</v>
      </c>
      <c r="BF46" s="16">
        <f>VLOOKUP(BF$23,'Neighborhood Inputs'!$C$42:$E$46,3,FALSE)*BF31</f>
        <v>0</v>
      </c>
      <c r="BG46" s="95">
        <f t="shared" ref="BG46" si="22">SUMIF(BB46:BF46,"&lt;&gt;#N/A")</f>
        <v>370.73914044066873</v>
      </c>
      <c r="BI46" s="94" t="s">
        <v>121</v>
      </c>
      <c r="BJ46" s="16">
        <f>VLOOKUP(BJ$23,'Neighborhood Inputs'!$C$42:$E$46,3,FALSE)*BJ31</f>
        <v>0</v>
      </c>
      <c r="BK46" s="16">
        <f>VLOOKUP(BK$23,'Neighborhood Inputs'!$C$42:$E$46,3,FALSE)*BK31</f>
        <v>0</v>
      </c>
      <c r="BL46" s="16">
        <f>VLOOKUP(BL$23,'Neighborhood Inputs'!$C$42:$E$46,3,FALSE)*BL31</f>
        <v>0</v>
      </c>
      <c r="BM46" s="16">
        <f>VLOOKUP(BM$23,'Neighborhood Inputs'!$C$42:$E$46,3,FALSE)*BM31</f>
        <v>0</v>
      </c>
      <c r="BN46" s="16">
        <f>VLOOKUP(BN$23,'Neighborhood Inputs'!$C$42:$E$46,3,FALSE)*BN31</f>
        <v>0</v>
      </c>
      <c r="BO46" s="95">
        <f t="shared" ref="BO46" si="23">SUMIF(BJ46:BN46,"&lt;&gt;#N/A")</f>
        <v>0</v>
      </c>
      <c r="BQ46" s="94" t="s">
        <v>121</v>
      </c>
      <c r="BR46" s="16">
        <f>VLOOKUP(BR$23,'Neighborhood Inputs'!$C$42:$E$46,3,FALSE)*BR31</f>
        <v>0</v>
      </c>
      <c r="BS46" s="16">
        <f>VLOOKUP(BS$23,'Neighborhood Inputs'!$C$42:$E$46,3,FALSE)*BS31</f>
        <v>0</v>
      </c>
      <c r="BT46" s="16">
        <f>VLOOKUP(BT$23,'Neighborhood Inputs'!$C$42:$E$46,3,FALSE)*BT31</f>
        <v>0</v>
      </c>
      <c r="BU46" s="16">
        <f>VLOOKUP(BU$23,'Neighborhood Inputs'!$C$42:$E$46,3,FALSE)*BU31</f>
        <v>0</v>
      </c>
      <c r="BV46" s="16">
        <f>VLOOKUP(BV$23,'Neighborhood Inputs'!$C$42:$E$46,3,FALSE)*BV31</f>
        <v>0</v>
      </c>
      <c r="BW46" s="95">
        <f t="shared" ref="BW46" si="24">SUMIF(BR46:BV46,"&lt;&gt;#N/A")</f>
        <v>0</v>
      </c>
      <c r="BY46" s="94" t="s">
        <v>121</v>
      </c>
      <c r="BZ46" s="16">
        <f>VLOOKUP(BZ$23,'Neighborhood Inputs'!$C$42:$E$46,3,FALSE)*BZ31</f>
        <v>0</v>
      </c>
      <c r="CA46" s="16">
        <f>VLOOKUP(CA$23,'Neighborhood Inputs'!$C$42:$E$46,3,FALSE)*CA31</f>
        <v>0</v>
      </c>
      <c r="CB46" s="16">
        <f>VLOOKUP(CB$23,'Neighborhood Inputs'!$C$42:$E$46,3,FALSE)*CB31</f>
        <v>0</v>
      </c>
      <c r="CC46" s="16">
        <f>VLOOKUP(CC$23,'Neighborhood Inputs'!$C$42:$E$46,3,FALSE)*CC31</f>
        <v>0</v>
      </c>
      <c r="CD46" s="16">
        <f>VLOOKUP(CD$23,'Neighborhood Inputs'!$C$42:$E$46,3,FALSE)*CD31</f>
        <v>0</v>
      </c>
      <c r="CE46" s="95">
        <f t="shared" ref="CE46" si="25">SUMIF(BZ46:CD46,"&lt;&gt;#N/A")</f>
        <v>0</v>
      </c>
    </row>
    <row r="47" spans="2:83" x14ac:dyDescent="0.3">
      <c r="B47" s="20"/>
      <c r="C47" s="656" t="s">
        <v>119</v>
      </c>
      <c r="D47" s="103">
        <f ca="1">$C$46-D46</f>
        <v>-167.47205410491981</v>
      </c>
      <c r="E47" s="103">
        <f t="shared" ref="E47:K47" ca="1" si="26">$C$46-E46</f>
        <v>-303.22929692392859</v>
      </c>
      <c r="F47" s="103">
        <f t="shared" ca="1" si="26"/>
        <v>-354.63522282692099</v>
      </c>
      <c r="G47" s="103">
        <f t="shared" ca="1" si="26"/>
        <v>-570.09376261439968</v>
      </c>
      <c r="H47" s="103">
        <f t="shared" ca="1" si="26"/>
        <v>-320.58112248534735</v>
      </c>
      <c r="I47" s="103">
        <f t="shared" ca="1" si="26"/>
        <v>50.158017955321405</v>
      </c>
      <c r="J47" s="103">
        <f t="shared" ca="1" si="26"/>
        <v>50.158017955321405</v>
      </c>
      <c r="K47" s="103">
        <f t="shared" ca="1" si="26"/>
        <v>50.158017955321405</v>
      </c>
    </row>
    <row r="48" spans="2:83" ht="12.9" thickBot="1" x14ac:dyDescent="0.35">
      <c r="C48" s="657"/>
      <c r="D48" s="126">
        <f t="shared" ref="D48:K48" ca="1" si="27">1-D46/$C$46</f>
        <v>-3.3388889938612945</v>
      </c>
      <c r="E48" s="126">
        <f t="shared" ca="1" si="27"/>
        <v>-6.0454800505480923</v>
      </c>
      <c r="F48" s="126">
        <f t="shared" ca="1" si="27"/>
        <v>-7.070359581250095</v>
      </c>
      <c r="G48" s="126">
        <f t="shared" ca="1" si="27"/>
        <v>-11.365954753678954</v>
      </c>
      <c r="H48" s="126">
        <f t="shared" ca="1" si="27"/>
        <v>-6.3914232570136074</v>
      </c>
      <c r="I48" s="126">
        <f t="shared" ca="1" si="27"/>
        <v>1</v>
      </c>
      <c r="J48" s="126">
        <f t="shared" ca="1" si="27"/>
        <v>1</v>
      </c>
      <c r="K48" s="126">
        <f t="shared" ca="1" si="27"/>
        <v>1</v>
      </c>
    </row>
    <row r="49" spans="2:53" x14ac:dyDescent="0.3">
      <c r="L49" s="1"/>
    </row>
    <row r="50" spans="2:53" x14ac:dyDescent="0.3">
      <c r="B50" s="298" t="s">
        <v>296</v>
      </c>
      <c r="C50" s="299"/>
      <c r="D50" s="299"/>
      <c r="E50" s="299"/>
      <c r="F50" s="299"/>
      <c r="G50" s="299"/>
      <c r="H50" s="299"/>
      <c r="I50" s="299"/>
      <c r="J50" s="299"/>
      <c r="K50" s="299"/>
      <c r="L50" s="1"/>
      <c r="M50" s="229" t="s">
        <v>296</v>
      </c>
      <c r="U50" s="229" t="s">
        <v>296</v>
      </c>
      <c r="AC50" s="229" t="s">
        <v>296</v>
      </c>
      <c r="AK50" s="229" t="s">
        <v>296</v>
      </c>
      <c r="AS50" s="229" t="s">
        <v>296</v>
      </c>
      <c r="BA50" s="229" t="s">
        <v>296</v>
      </c>
    </row>
    <row r="51" spans="2:53" x14ac:dyDescent="0.3">
      <c r="B51" s="298" t="s">
        <v>298</v>
      </c>
      <c r="C51" s="299"/>
      <c r="D51" s="299"/>
      <c r="E51" s="299"/>
      <c r="F51" s="299"/>
      <c r="G51" s="299"/>
      <c r="H51" s="299"/>
      <c r="I51" s="299"/>
      <c r="J51" s="299"/>
      <c r="K51" s="299"/>
      <c r="L51" s="1"/>
      <c r="M51" s="229" t="s">
        <v>298</v>
      </c>
      <c r="U51" s="229" t="s">
        <v>298</v>
      </c>
      <c r="AC51" s="229" t="s">
        <v>298</v>
      </c>
      <c r="AK51" s="229" t="s">
        <v>298</v>
      </c>
      <c r="AS51" s="229" t="s">
        <v>298</v>
      </c>
      <c r="BA51" s="229" t="s">
        <v>298</v>
      </c>
    </row>
    <row r="52" spans="2:53" x14ac:dyDescent="0.3">
      <c r="C52" s="46"/>
      <c r="D52" s="46"/>
      <c r="E52" s="46"/>
      <c r="F52" s="46"/>
      <c r="G52" s="46"/>
      <c r="H52" s="46"/>
      <c r="I52" s="46"/>
      <c r="J52" s="46"/>
      <c r="L52" s="1"/>
      <c r="U52" s="49"/>
      <c r="W52" s="49"/>
    </row>
    <row r="55" spans="2:53" x14ac:dyDescent="0.3">
      <c r="M55" s="48"/>
      <c r="N55" s="1"/>
      <c r="O55" s="9"/>
      <c r="P55" s="9"/>
    </row>
    <row r="56" spans="2:53" x14ac:dyDescent="0.3">
      <c r="S56" s="1"/>
      <c r="T56" s="1"/>
      <c r="U56" s="1"/>
    </row>
    <row r="57" spans="2:53" x14ac:dyDescent="0.3">
      <c r="M57" s="48"/>
      <c r="S57" s="47"/>
      <c r="T57" s="47"/>
      <c r="U57" s="47"/>
    </row>
    <row r="58" spans="2:53" x14ac:dyDescent="0.3">
      <c r="M58" s="48"/>
      <c r="S58" s="47"/>
      <c r="T58" s="47"/>
      <c r="U58" s="47"/>
    </row>
    <row r="59" spans="2:53" x14ac:dyDescent="0.3">
      <c r="M59" s="48"/>
    </row>
    <row r="60" spans="2:53" x14ac:dyDescent="0.3">
      <c r="M60" s="48"/>
    </row>
    <row r="61" spans="2:53" x14ac:dyDescent="0.3">
      <c r="M61" s="48"/>
    </row>
    <row r="63" spans="2:53" x14ac:dyDescent="0.3">
      <c r="O63" s="9"/>
      <c r="P63" s="9"/>
    </row>
  </sheetData>
  <mergeCells count="3">
    <mergeCell ref="C32:C33"/>
    <mergeCell ref="C43:C44"/>
    <mergeCell ref="C47:C48"/>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FE708-D5EB-4D40-83E4-6329E161378C}">
  <sheetPr>
    <tabColor theme="7" tint="0.59999389629810485"/>
  </sheetPr>
  <dimension ref="B1:N30"/>
  <sheetViews>
    <sheetView zoomScale="85" zoomScaleNormal="85" workbookViewId="0">
      <selection activeCell="J42" sqref="J42"/>
    </sheetView>
  </sheetViews>
  <sheetFormatPr defaultColWidth="9.15234375" defaultRowHeight="14.6" x14ac:dyDescent="0.4"/>
  <cols>
    <col min="1" max="1" width="4.69140625" style="4" customWidth="1"/>
    <col min="2" max="2" width="15.3828125" style="7" customWidth="1"/>
    <col min="3" max="3" width="18.15234375" style="5" bestFit="1" customWidth="1"/>
    <col min="4" max="4" width="18.84375" style="5" bestFit="1" customWidth="1"/>
    <col min="5" max="6" width="18.84375" style="4" customWidth="1"/>
    <col min="7" max="11" width="18.15234375" style="4" customWidth="1"/>
    <col min="12" max="12" width="18.15234375" style="4" hidden="1" customWidth="1"/>
    <col min="13" max="14" width="19.15234375" style="4" hidden="1" customWidth="1"/>
    <col min="15" max="16384" width="9.15234375" style="4"/>
  </cols>
  <sheetData>
    <row r="1" spans="2:14" x14ac:dyDescent="0.4">
      <c r="B1" s="6"/>
      <c r="C1" s="23"/>
    </row>
    <row r="2" spans="2:14" x14ac:dyDescent="0.4">
      <c r="B2" s="446"/>
      <c r="E2" s="5"/>
      <c r="F2" s="5"/>
      <c r="G2" s="5"/>
      <c r="H2" s="5"/>
      <c r="I2" s="5"/>
      <c r="J2" s="5"/>
      <c r="K2" s="5"/>
      <c r="L2" s="5"/>
      <c r="M2" s="5"/>
      <c r="N2" s="5"/>
    </row>
    <row r="3" spans="2:14" ht="15" customHeight="1" x14ac:dyDescent="0.4">
      <c r="B3" s="658" t="s">
        <v>122</v>
      </c>
      <c r="C3" s="658"/>
      <c r="D3" s="658"/>
      <c r="E3" s="658"/>
      <c r="F3" s="658"/>
      <c r="G3" s="658"/>
      <c r="H3" s="658"/>
      <c r="I3" s="658"/>
      <c r="J3" s="658"/>
      <c r="K3" s="658"/>
      <c r="L3" s="658"/>
      <c r="M3" s="658"/>
      <c r="N3" s="658"/>
    </row>
    <row r="4" spans="2:14" x14ac:dyDescent="0.4">
      <c r="B4" s="10" t="s">
        <v>123</v>
      </c>
      <c r="C4" s="85" t="str">
        <f>'Homes - Inputs'!L2</f>
        <v>Worst - Existing</v>
      </c>
      <c r="D4" s="10" t="str">
        <f>'Homes - Inputs'!M2</f>
        <v>Mid - Existing</v>
      </c>
      <c r="E4" s="10" t="str">
        <f>'Homes - Inputs'!N2</f>
        <v>Best - Existing</v>
      </c>
      <c r="F4" s="10" t="str">
        <f>'Homes - Inputs'!O2</f>
        <v>DOE Benchmark - Homes</v>
      </c>
      <c r="G4" s="10" t="str">
        <f>'Homes - Inputs'!P2</f>
        <v>Worst - Wx</v>
      </c>
      <c r="H4" s="10" t="str">
        <f>'Homes - Inputs'!Q2</f>
        <v>Mid - Wx</v>
      </c>
      <c r="I4" s="10" t="str">
        <f>'Homes - Inputs'!R2</f>
        <v>Best - Wx</v>
      </c>
      <c r="J4" s="10" t="str">
        <f>'Homes - Inputs'!S2</f>
        <v>Worst - Geo</v>
      </c>
      <c r="K4" s="10" t="str">
        <f>'Homes - Inputs'!T2</f>
        <v>Mid - Geo</v>
      </c>
      <c r="L4" s="10"/>
      <c r="M4" s="10"/>
      <c r="N4" s="10"/>
    </row>
    <row r="5" spans="2:14" x14ac:dyDescent="0.4">
      <c r="B5" s="447" t="s">
        <v>89</v>
      </c>
      <c r="C5" s="8">
        <f ca="1">'Homes - 2022'!C24</f>
        <v>2.8661500990950119</v>
      </c>
      <c r="D5" s="8">
        <f ca="1">'Homes - 2022'!D24</f>
        <v>2.8661500990950119</v>
      </c>
      <c r="E5" s="8">
        <f ca="1">'Homes - 2022'!E24</f>
        <v>2.8661500990950119</v>
      </c>
      <c r="F5" s="8">
        <f ca="1">'Homes - 2022'!F24</f>
        <v>2.881939419436264</v>
      </c>
      <c r="G5" s="8">
        <f ca="1">'Homes - 2022'!G24</f>
        <v>2.8661500990950119</v>
      </c>
      <c r="H5" s="8">
        <f ca="1">'Homes - 2022'!H24</f>
        <v>2.8661500990950119</v>
      </c>
      <c r="I5" s="8">
        <f ca="1">'Homes - 2022'!I24</f>
        <v>2.8661500990950119</v>
      </c>
      <c r="J5" s="8">
        <f ca="1">'Homes - 2022'!J24</f>
        <v>2.8661500990950119</v>
      </c>
      <c r="K5" s="8">
        <f ca="1">'Homes - 2022'!K24</f>
        <v>2.8661500990950119</v>
      </c>
      <c r="L5" s="8"/>
      <c r="M5" s="8"/>
      <c r="N5" s="8"/>
    </row>
    <row r="6" spans="2:14" x14ac:dyDescent="0.4">
      <c r="B6" s="447" t="s">
        <v>90</v>
      </c>
      <c r="C6" s="8">
        <f ca="1">'Homes - 2022'!C25</f>
        <v>88.115188996871936</v>
      </c>
      <c r="D6" s="8">
        <f ca="1">'Homes - 2022'!D25</f>
        <v>68.923565510160216</v>
      </c>
      <c r="E6" s="8">
        <f ca="1">'Homes - 2022'!E25</f>
        <v>52.937391055182786</v>
      </c>
      <c r="F6" s="8">
        <f ca="1">'Homes - 2022'!F25</f>
        <v>59.533962978544388</v>
      </c>
      <c r="G6" s="8">
        <f ca="1">'Homes - 2022'!G25</f>
        <v>69.606389837388662</v>
      </c>
      <c r="H6" s="8">
        <f ca="1">'Homes - 2022'!H25</f>
        <v>60.881324768977294</v>
      </c>
      <c r="I6" s="8">
        <f ca="1">'Homes - 2022'!I25</f>
        <v>52.937391055182786</v>
      </c>
      <c r="J6" s="8">
        <f ca="1">'Homes - 2022'!J25</f>
        <v>18.700768881778455</v>
      </c>
      <c r="K6" s="8">
        <f ca="1">'Homes - 2022'!K25</f>
        <v>14.143377349029345</v>
      </c>
      <c r="L6" s="8"/>
      <c r="M6" s="8"/>
      <c r="N6" s="8"/>
    </row>
    <row r="7" spans="2:14" x14ac:dyDescent="0.4">
      <c r="B7" s="447" t="s">
        <v>91</v>
      </c>
      <c r="C7" s="8">
        <f ca="1">'Homes - 2022'!C26</f>
        <v>9.9073521335275441</v>
      </c>
      <c r="D7" s="8">
        <f ca="1">'Homes - 2022'!D26</f>
        <v>6.3249600038205305</v>
      </c>
      <c r="E7" s="8">
        <f ca="1">'Homes - 2022'!E26</f>
        <v>5.0143866854509413</v>
      </c>
      <c r="F7" s="8">
        <f ca="1">'Homes - 2022'!F26</f>
        <v>1.9428355069415228</v>
      </c>
      <c r="G7" s="8">
        <f ca="1">'Homes - 2022'!G26</f>
        <v>9.0507414217149407</v>
      </c>
      <c r="H7" s="8">
        <f ca="1">'Homes - 2022'!H26</f>
        <v>6.1511019842880676</v>
      </c>
      <c r="I7" s="8">
        <f ca="1">'Homes - 2022'!I26</f>
        <v>5.0143866854509413</v>
      </c>
      <c r="J7" s="8">
        <f ca="1">'Homes - 2022'!J26</f>
        <v>4.5395663697796031</v>
      </c>
      <c r="K7" s="8">
        <f ca="1">'Homes - 2022'!K26</f>
        <v>2.7950404737457917</v>
      </c>
      <c r="L7" s="8"/>
      <c r="M7" s="8"/>
      <c r="N7" s="8"/>
    </row>
    <row r="8" spans="2:14" x14ac:dyDescent="0.4">
      <c r="B8" s="447" t="s">
        <v>103</v>
      </c>
      <c r="C8" s="8">
        <f ca="1">'Homes - 2022'!C27</f>
        <v>1.1222808567539816E-3</v>
      </c>
      <c r="D8" s="8">
        <f ca="1">'Homes - 2022'!D27</f>
        <v>9.3125432794479335E-4</v>
      </c>
      <c r="E8" s="8">
        <f ca="1">'Homes - 2022'!E27</f>
        <v>8.2380190548962478E-4</v>
      </c>
      <c r="F8" s="8">
        <f ca="1">'Homes - 2022'!F27</f>
        <v>0</v>
      </c>
      <c r="G8" s="8">
        <f ca="1">'Homes - 2022'!G27</f>
        <v>1.1222808567539816E-3</v>
      </c>
      <c r="H8" s="8">
        <f ca="1">'Homes - 2022'!H27</f>
        <v>9.3125432794479335E-4</v>
      </c>
      <c r="I8" s="8">
        <f ca="1">'Homes - 2022'!I27</f>
        <v>8.2380190548962478E-4</v>
      </c>
      <c r="J8" s="8">
        <f ca="1">'Homes - 2022'!J27</f>
        <v>0.34387163017264016</v>
      </c>
      <c r="K8" s="8">
        <f ca="1">'Homes - 2022'!K27</f>
        <v>0.2645717424007259</v>
      </c>
      <c r="L8" s="8"/>
      <c r="M8" s="8"/>
      <c r="N8" s="8"/>
    </row>
    <row r="9" spans="2:14" x14ac:dyDescent="0.4">
      <c r="B9" s="447" t="s">
        <v>102</v>
      </c>
      <c r="C9" s="8">
        <f ca="1">'Homes - 2022'!C28</f>
        <v>8.9136321306621458</v>
      </c>
      <c r="D9" s="8">
        <f ca="1">'Homes - 2022'!D28</f>
        <v>6.975823204947587</v>
      </c>
      <c r="E9" s="8">
        <f ca="1">'Homes - 2022'!E28</f>
        <v>4.9633826022588883</v>
      </c>
      <c r="F9" s="8">
        <f ca="1">'Homes - 2022'!F28</f>
        <v>2.5471939419436267</v>
      </c>
      <c r="G9" s="8">
        <f ca="1">'Homes - 2022'!G28</f>
        <v>7.1969602903603231</v>
      </c>
      <c r="H9" s="8">
        <f ca="1">'Homes - 2022'!H28</f>
        <v>6.2174837030492611</v>
      </c>
      <c r="I9" s="8">
        <f ca="1">'Homes - 2022'!I28</f>
        <v>4.9633826022588883</v>
      </c>
      <c r="J9" s="8">
        <f ca="1">'Homes - 2022'!J28</f>
        <v>2.9604097519042956</v>
      </c>
      <c r="K9" s="8">
        <f ca="1">'Homes - 2022'!K28</f>
        <v>2.5669428591895698</v>
      </c>
      <c r="L9" s="8"/>
      <c r="M9" s="8"/>
      <c r="N9" s="8"/>
    </row>
    <row r="10" spans="2:14" x14ac:dyDescent="0.4">
      <c r="B10" s="447" t="s">
        <v>117</v>
      </c>
      <c r="C10" s="8">
        <f ca="1">'Homes - 2022'!C29</f>
        <v>10.878924998209127</v>
      </c>
      <c r="D10" s="8">
        <f ca="1">'Homes - 2022'!D29</f>
        <v>9.6701568805367835</v>
      </c>
      <c r="E10" s="8">
        <f ca="1">'Homes - 2022'!E29</f>
        <v>8.4613887628644431</v>
      </c>
      <c r="F10" s="8">
        <f ca="1">'Homes - 2022'!F29</f>
        <v>14.756933108960874</v>
      </c>
      <c r="G10" s="8">
        <f ca="1">'Homes - 2022'!G29</f>
        <v>10.878924998209127</v>
      </c>
      <c r="H10" s="8">
        <f ca="1">'Homes - 2022'!H29</f>
        <v>9.6701568805367835</v>
      </c>
      <c r="I10" s="8">
        <f ca="1">'Homes - 2022'!I29</f>
        <v>8.4613887628644431</v>
      </c>
      <c r="J10" s="8">
        <f ca="1">'Homes - 2022'!J29</f>
        <v>10.878924998209127</v>
      </c>
      <c r="K10" s="8">
        <f ca="1">'Homes - 2022'!K29</f>
        <v>9.6701568805367835</v>
      </c>
      <c r="L10" s="8"/>
      <c r="M10" s="8"/>
      <c r="N10" s="8"/>
    </row>
    <row r="11" spans="2:14" x14ac:dyDescent="0.4">
      <c r="B11" s="447" t="s">
        <v>95</v>
      </c>
      <c r="C11" s="8">
        <f ca="1">'Homes - 2022'!C30</f>
        <v>9.4609231357004688</v>
      </c>
      <c r="D11" s="8">
        <f ca="1">'Homes - 2022'!D30</f>
        <v>7.8836648439552039</v>
      </c>
      <c r="E11" s="8">
        <f ca="1">'Homes - 2022'!E30</f>
        <v>6.9372239069700798</v>
      </c>
      <c r="F11" s="8">
        <f ca="1">'Homes - 2022'!F30</f>
        <v>8.6546739587715606</v>
      </c>
      <c r="G11" s="8">
        <f ca="1">'Homes - 2022'!G30</f>
        <v>9.4599918813725257</v>
      </c>
      <c r="H11" s="8">
        <f ca="1">'Homes - 2022'!H30</f>
        <v>7.8833305475297877</v>
      </c>
      <c r="I11" s="8">
        <f ca="1">'Homes - 2022'!I30</f>
        <v>6.9372239069700798</v>
      </c>
      <c r="J11" s="8">
        <f ca="1">'Homes - 2022'!J30</f>
        <v>9.4638840468970127</v>
      </c>
      <c r="K11" s="8">
        <f ca="1">'Homes - 2022'!K30</f>
        <v>7.8839394445903679</v>
      </c>
      <c r="L11" s="8"/>
      <c r="M11" s="8"/>
      <c r="N11" s="8"/>
    </row>
    <row r="12" spans="2:14" x14ac:dyDescent="0.4">
      <c r="B12" s="448" t="s">
        <v>124</v>
      </c>
      <c r="C12" s="449" t="s">
        <v>21</v>
      </c>
      <c r="D12" s="24">
        <f ca="1">IF($C$13-D13&lt;0,"",$C$13-D13)</f>
        <v>27.498041978079726</v>
      </c>
      <c r="E12" s="24">
        <f ca="1">IF($C$13-E13&lt;0,"",$C$13-E13)</f>
        <v>48.962546861195364</v>
      </c>
      <c r="F12" s="24">
        <f t="shared" ref="F12:N12" ca="1" si="0">IF($C$13-F13&lt;0,"",$C$13-F13)</f>
        <v>39.825754860324736</v>
      </c>
      <c r="G12" s="24">
        <f t="shared" ca="1" si="0"/>
        <v>21.083012965925647</v>
      </c>
      <c r="H12" s="24">
        <f t="shared" ca="1" si="0"/>
        <v>36.472814537118865</v>
      </c>
      <c r="I12" s="24">
        <f t="shared" ca="1" si="0"/>
        <v>48.962546861195364</v>
      </c>
      <c r="J12" s="24">
        <f t="shared" ca="1" si="0"/>
        <v>80.389717997086848</v>
      </c>
      <c r="K12" s="24">
        <f t="shared" ca="1" si="0"/>
        <v>89.953114926335402</v>
      </c>
      <c r="L12" s="24">
        <f t="shared" ca="1" si="0"/>
        <v>130.14329377492299</v>
      </c>
      <c r="M12" s="24">
        <f t="shared" ca="1" si="0"/>
        <v>130.14329377492299</v>
      </c>
      <c r="N12" s="24">
        <f t="shared" ca="1" si="0"/>
        <v>130.14329377492299</v>
      </c>
    </row>
    <row r="13" spans="2:14" x14ac:dyDescent="0.4">
      <c r="B13" s="25" t="s">
        <v>125</v>
      </c>
      <c r="C13" s="26">
        <f t="shared" ref="C13:N13" ca="1" si="1">SUM(C5:C11)</f>
        <v>130.14329377492299</v>
      </c>
      <c r="D13" s="26">
        <f ca="1">SUM(D5:D11)</f>
        <v>102.64525179684327</v>
      </c>
      <c r="E13" s="26">
        <f t="shared" ca="1" si="1"/>
        <v>81.180746913727631</v>
      </c>
      <c r="F13" s="26">
        <f t="shared" ca="1" si="1"/>
        <v>90.317538914598259</v>
      </c>
      <c r="G13" s="26">
        <f t="shared" ca="1" si="1"/>
        <v>109.06028080899735</v>
      </c>
      <c r="H13" s="26">
        <f t="shared" ca="1" si="1"/>
        <v>93.67047923780413</v>
      </c>
      <c r="I13" s="26">
        <f t="shared" ca="1" si="1"/>
        <v>81.180746913727631</v>
      </c>
      <c r="J13" s="26">
        <f t="shared" ca="1" si="1"/>
        <v>49.753575777836147</v>
      </c>
      <c r="K13" s="26">
        <f t="shared" ca="1" si="1"/>
        <v>40.190178848587593</v>
      </c>
      <c r="L13" s="26">
        <f t="shared" si="1"/>
        <v>0</v>
      </c>
      <c r="M13" s="26">
        <f t="shared" si="1"/>
        <v>0</v>
      </c>
      <c r="N13" s="26">
        <f t="shared" si="1"/>
        <v>0</v>
      </c>
    </row>
    <row r="15" spans="2:14" x14ac:dyDescent="0.4">
      <c r="B15" s="659" t="s">
        <v>126</v>
      </c>
      <c r="C15" s="450" t="s">
        <v>21</v>
      </c>
      <c r="D15" s="451">
        <f ca="1">IFERROR(1-D13/$C$13,0)</f>
        <v>0.21129050280252137</v>
      </c>
      <c r="E15" s="451">
        <f ca="1">IFERROR(1-E13/$C$13,0)</f>
        <v>0.3762202833583872</v>
      </c>
      <c r="F15" s="451">
        <f t="shared" ref="F15:N15" ca="1" si="2">IFERROR(1-F13/$C$13,0)</f>
        <v>0.30601465281185825</v>
      </c>
      <c r="G15" s="451">
        <f t="shared" ca="1" si="2"/>
        <v>0.16199845842527838</v>
      </c>
      <c r="H15" s="451">
        <f t="shared" ca="1" si="2"/>
        <v>0.28025120218792809</v>
      </c>
      <c r="I15" s="451">
        <f t="shared" ca="1" si="2"/>
        <v>0.3762202833583872</v>
      </c>
      <c r="J15" s="451">
        <f t="shared" ca="1" si="2"/>
        <v>0.61770157850866503</v>
      </c>
      <c r="K15" s="451">
        <f t="shared" ca="1" si="2"/>
        <v>0.69118517226024179</v>
      </c>
      <c r="L15" s="451">
        <f t="shared" ca="1" si="2"/>
        <v>1</v>
      </c>
      <c r="M15" s="451">
        <f t="shared" ca="1" si="2"/>
        <v>1</v>
      </c>
      <c r="N15" s="451">
        <f t="shared" ca="1" si="2"/>
        <v>1</v>
      </c>
    </row>
    <row r="16" spans="2:14" x14ac:dyDescent="0.4">
      <c r="B16" s="659"/>
      <c r="D16" s="5" t="str">
        <f ca="1">IF(D15&lt;=0,"","Energy Savings: "&amp;TEXT(D15,"0%"))</f>
        <v>Energy Savings: 21%</v>
      </c>
      <c r="E16" s="5" t="str">
        <f t="shared" ref="E16:N16" ca="1" si="3">IF(E15&lt;=0,"","Energy Savings: "&amp;TEXT(E15,"0%"))</f>
        <v>Energy Savings: 38%</v>
      </c>
      <c r="F16" s="5" t="str">
        <f t="shared" ca="1" si="3"/>
        <v>Energy Savings: 31%</v>
      </c>
      <c r="G16" s="5" t="str">
        <f t="shared" ca="1" si="3"/>
        <v>Energy Savings: 16%</v>
      </c>
      <c r="H16" s="5" t="str">
        <f t="shared" ca="1" si="3"/>
        <v>Energy Savings: 28%</v>
      </c>
      <c r="I16" s="5" t="str">
        <f t="shared" ca="1" si="3"/>
        <v>Energy Savings: 38%</v>
      </c>
      <c r="J16" s="5" t="str">
        <f t="shared" ca="1" si="3"/>
        <v>Energy Savings: 62%</v>
      </c>
      <c r="K16" s="5" t="str">
        <f t="shared" ca="1" si="3"/>
        <v>Energy Savings: 69%</v>
      </c>
      <c r="L16" s="5" t="str">
        <f t="shared" ca="1" si="3"/>
        <v>Energy Savings: 100%</v>
      </c>
      <c r="M16" s="5" t="str">
        <f t="shared" ca="1" si="3"/>
        <v>Energy Savings: 100%</v>
      </c>
      <c r="N16" s="5" t="str">
        <f t="shared" ca="1" si="3"/>
        <v>Energy Savings: 100%</v>
      </c>
    </row>
    <row r="18" spans="2:14" x14ac:dyDescent="0.4">
      <c r="B18" s="660" t="s">
        <v>127</v>
      </c>
      <c r="C18" s="661"/>
      <c r="D18" s="661"/>
      <c r="E18" s="661"/>
      <c r="F18" s="661"/>
      <c r="G18" s="661"/>
      <c r="H18" s="661"/>
      <c r="I18" s="661"/>
      <c r="J18" s="661"/>
      <c r="K18" s="661"/>
      <c r="L18" s="661"/>
      <c r="M18" s="661"/>
      <c r="N18" s="662"/>
    </row>
    <row r="19" spans="2:14" x14ac:dyDescent="0.4">
      <c r="B19" s="447" t="s">
        <v>89</v>
      </c>
      <c r="C19" s="452">
        <f ca="1">'Homes - 2022'!C35</f>
        <v>138.06258623718887</v>
      </c>
      <c r="D19" s="452">
        <f ca="1">'Homes - 2022'!D35</f>
        <v>138.06258623718887</v>
      </c>
      <c r="E19" s="452">
        <f ca="1">'Homes - 2022'!E35</f>
        <v>138.06258623718887</v>
      </c>
      <c r="F19" s="452">
        <f ca="1">'Homes - 2022'!F35</f>
        <v>0</v>
      </c>
      <c r="G19" s="452">
        <f ca="1">'Homes - 2022'!G35</f>
        <v>138.06258623718887</v>
      </c>
      <c r="H19" s="452">
        <f ca="1">'Homes - 2022'!H35</f>
        <v>138.06258623718887</v>
      </c>
      <c r="I19" s="452">
        <f ca="1">'Homes - 2022'!I35</f>
        <v>138.06258623718887</v>
      </c>
      <c r="J19" s="452">
        <f ca="1">'Homes - 2022'!J35</f>
        <v>138.06258623718887</v>
      </c>
      <c r="K19" s="452">
        <f ca="1">'Homes - 2022'!K35</f>
        <v>138.06258623718887</v>
      </c>
      <c r="L19" s="452"/>
      <c r="M19" s="452"/>
      <c r="N19" s="452"/>
    </row>
    <row r="20" spans="2:14" x14ac:dyDescent="0.4">
      <c r="B20" s="447" t="s">
        <v>90</v>
      </c>
      <c r="C20" s="452">
        <f ca="1">'Homes - 2022'!C36</f>
        <v>583.03358766859344</v>
      </c>
      <c r="D20" s="452">
        <f ca="1">'Homes - 2022'!D36</f>
        <v>456.0479768786127</v>
      </c>
      <c r="E20" s="452">
        <f ca="1">'Homes - 2022'!E36</f>
        <v>350.27192678227362</v>
      </c>
      <c r="F20" s="452">
        <f ca="1">'Homes - 2022'!F36</f>
        <v>0</v>
      </c>
      <c r="G20" s="452">
        <f ca="1">'Homes - 2022'!G36</f>
        <v>460.5660346820809</v>
      </c>
      <c r="H20" s="452">
        <f ca="1">'Homes - 2022'!H36</f>
        <v>402.83471676300582</v>
      </c>
      <c r="I20" s="452">
        <f ca="1">'Homes - 2022'!I36</f>
        <v>350.27192678227362</v>
      </c>
      <c r="J20" s="452">
        <f ca="1">'Homes - 2022'!J36</f>
        <v>900.81692415812574</v>
      </c>
      <c r="K20" s="452">
        <f ca="1">'Homes - 2022'!K36</f>
        <v>681.28715783308917</v>
      </c>
      <c r="L20" s="452"/>
      <c r="M20" s="452"/>
      <c r="N20" s="452"/>
    </row>
    <row r="21" spans="2:14" x14ac:dyDescent="0.4">
      <c r="B21" s="447" t="s">
        <v>91</v>
      </c>
      <c r="C21" s="452">
        <f ca="1">'Homes - 2022'!C37</f>
        <v>477.23762225475843</v>
      </c>
      <c r="D21" s="452">
        <f ca="1">'Homes - 2022'!D37</f>
        <v>304.67362342606145</v>
      </c>
      <c r="E21" s="452">
        <f ca="1">'Homes - 2022'!E37</f>
        <v>241.5432445095168</v>
      </c>
      <c r="F21" s="452">
        <f ca="1">'Homes - 2022'!F37</f>
        <v>0</v>
      </c>
      <c r="G21" s="452">
        <f ca="1">'Homes - 2022'!G37</f>
        <v>435.9746436310395</v>
      </c>
      <c r="H21" s="452">
        <f ca="1">'Homes - 2022'!H37</f>
        <v>296.29887437774522</v>
      </c>
      <c r="I21" s="452">
        <f ca="1">'Homes - 2022'!I37</f>
        <v>241.5432445095168</v>
      </c>
      <c r="J21" s="452">
        <f ca="1">'Homes - 2022'!J37</f>
        <v>218.67112737920934</v>
      </c>
      <c r="K21" s="452">
        <f ca="1">'Homes - 2022'!K37</f>
        <v>134.63723221083455</v>
      </c>
      <c r="L21" s="452"/>
      <c r="M21" s="452"/>
      <c r="N21" s="452"/>
    </row>
    <row r="22" spans="2:14" x14ac:dyDescent="0.4">
      <c r="B22" s="447" t="s">
        <v>103</v>
      </c>
      <c r="C22" s="452">
        <f ca="1">'Homes - 2022'!C38</f>
        <v>5.4060322108345528E-2</v>
      </c>
      <c r="D22" s="452">
        <f ca="1">'Homes - 2022'!D38</f>
        <v>4.4858565153733522E-2</v>
      </c>
      <c r="E22" s="452">
        <f ca="1">'Homes - 2022'!E38</f>
        <v>3.9682576866764269E-2</v>
      </c>
      <c r="F22" s="452">
        <f ca="1">'Homes - 2022'!F38</f>
        <v>0</v>
      </c>
      <c r="G22" s="452">
        <f ca="1">'Homes - 2022'!G38</f>
        <v>5.4060322108345528E-2</v>
      </c>
      <c r="H22" s="452">
        <f ca="1">'Homes - 2022'!H38</f>
        <v>4.4858565153733522E-2</v>
      </c>
      <c r="I22" s="452">
        <f ca="1">'Homes - 2022'!I38</f>
        <v>3.9682576866764269E-2</v>
      </c>
      <c r="J22" s="452">
        <f ca="1">'Homes - 2022'!J38</f>
        <v>16.564312737920933</v>
      </c>
      <c r="K22" s="452">
        <f ca="1">'Homes - 2022'!K38</f>
        <v>12.744433382137627</v>
      </c>
      <c r="L22" s="452"/>
      <c r="M22" s="452"/>
      <c r="N22" s="452"/>
    </row>
    <row r="23" spans="2:14" x14ac:dyDescent="0.4">
      <c r="B23" s="447" t="s">
        <v>102</v>
      </c>
      <c r="C23" s="452">
        <f ca="1">'Homes - 2022'!C39</f>
        <v>429.37008257686671</v>
      </c>
      <c r="D23" s="452">
        <f ca="1">'Homes - 2022'!D39</f>
        <v>336.02573469985356</v>
      </c>
      <c r="E23" s="452">
        <f ca="1">'Homes - 2022'!E39</f>
        <v>239.08637540263538</v>
      </c>
      <c r="F23" s="452">
        <f ca="1">'Homes - 2022'!F39</f>
        <v>0</v>
      </c>
      <c r="G23" s="452">
        <f ca="1">'Homes - 2022'!G39</f>
        <v>346.67791859443628</v>
      </c>
      <c r="H23" s="452">
        <f ca="1">'Homes - 2022'!H39</f>
        <v>299.49648491947289</v>
      </c>
      <c r="I23" s="452">
        <f ca="1">'Homes - 2022'!I39</f>
        <v>239.08637540263538</v>
      </c>
      <c r="J23" s="452">
        <f ca="1">'Homes - 2022'!J39</f>
        <v>142.60307818448021</v>
      </c>
      <c r="K23" s="452">
        <f ca="1">'Homes - 2022'!K39</f>
        <v>123.64975929721814</v>
      </c>
      <c r="L23" s="452"/>
      <c r="M23" s="452"/>
      <c r="N23" s="452"/>
    </row>
    <row r="24" spans="2:14" x14ac:dyDescent="0.4">
      <c r="B24" s="447" t="s">
        <v>117</v>
      </c>
      <c r="C24" s="452">
        <f ca="1">'Homes - 2022'!C40</f>
        <v>423.58165994634345</v>
      </c>
      <c r="D24" s="452">
        <f ca="1">'Homes - 2022'!D40</f>
        <v>365.35524237679732</v>
      </c>
      <c r="E24" s="452">
        <f ca="1">'Homes - 2022'!E40</f>
        <v>307.12882480725119</v>
      </c>
      <c r="F24" s="452">
        <f ca="1">'Homes - 2022'!F40</f>
        <v>0</v>
      </c>
      <c r="G24" s="452">
        <f ca="1">'Homes - 2022'!G40</f>
        <v>423.58165994634345</v>
      </c>
      <c r="H24" s="452">
        <f ca="1">'Homes - 2022'!H40</f>
        <v>365.35524237679732</v>
      </c>
      <c r="I24" s="452">
        <f ca="1">'Homes - 2022'!I40</f>
        <v>307.12882480725119</v>
      </c>
      <c r="J24" s="452">
        <f ca="1">'Homes - 2022'!J40</f>
        <v>423.58165994634345</v>
      </c>
      <c r="K24" s="452">
        <f ca="1">'Homes - 2022'!K40</f>
        <v>365.35524237679732</v>
      </c>
      <c r="L24" s="452"/>
      <c r="M24" s="452"/>
      <c r="N24" s="452"/>
    </row>
    <row r="25" spans="2:14" x14ac:dyDescent="0.4">
      <c r="B25" s="447" t="s">
        <v>95</v>
      </c>
      <c r="C25" s="452">
        <f ca="1">'Homes - 2022'!C41</f>
        <v>62.600285163776491</v>
      </c>
      <c r="D25" s="452">
        <f ca="1">'Homes - 2022'!D41</f>
        <v>52.164007707129095</v>
      </c>
      <c r="E25" s="452">
        <f ca="1">'Homes - 2022'!E41</f>
        <v>45.901672447013482</v>
      </c>
      <c r="F25" s="452">
        <f ca="1">'Homes - 2022'!F41</f>
        <v>0</v>
      </c>
      <c r="G25" s="452">
        <f ca="1">'Homes - 2022'!G41</f>
        <v>62.594123314065513</v>
      </c>
      <c r="H25" s="452">
        <f ca="1">'Homes - 2022'!H41</f>
        <v>52.161795761078999</v>
      </c>
      <c r="I25" s="452">
        <f ca="1">'Homes - 2022'!I41</f>
        <v>45.901672447013482</v>
      </c>
      <c r="J25" s="452">
        <f ca="1">'Homes - 2022'!J41</f>
        <v>62.619876685934493</v>
      </c>
      <c r="K25" s="452">
        <f ca="1">'Homes - 2022'!K41</f>
        <v>52.165824662813108</v>
      </c>
      <c r="L25" s="452"/>
      <c r="M25" s="452"/>
      <c r="N25" s="452"/>
    </row>
    <row r="26" spans="2:14" x14ac:dyDescent="0.4">
      <c r="B26" s="448" t="s">
        <v>124</v>
      </c>
      <c r="C26" s="449" t="s">
        <v>21</v>
      </c>
      <c r="D26" s="453">
        <f ca="1">IF($C$27-D27&lt;0,"",$C$27-D27)</f>
        <v>461.56585427883897</v>
      </c>
      <c r="E26" s="453">
        <f t="shared" ref="E26:N26" ca="1" si="4">IF($C$27-E27&lt;0,"",$C$27-E27)</f>
        <v>791.90557140688952</v>
      </c>
      <c r="F26" s="453">
        <f t="shared" ca="1" si="4"/>
        <v>2113.9398841696357</v>
      </c>
      <c r="G26" s="453">
        <f t="shared" ca="1" si="4"/>
        <v>246.42885744237287</v>
      </c>
      <c r="H26" s="453">
        <f t="shared" ca="1" si="4"/>
        <v>559.68532516919277</v>
      </c>
      <c r="I26" s="453">
        <f t="shared" ca="1" si="4"/>
        <v>791.90557140688952</v>
      </c>
      <c r="J26" s="453">
        <f t="shared" ca="1" si="4"/>
        <v>211.02031884043254</v>
      </c>
      <c r="K26" s="453">
        <f t="shared" ca="1" si="4"/>
        <v>606.03764816955686</v>
      </c>
      <c r="L26" s="453">
        <f t="shared" ca="1" si="4"/>
        <v>2113.9398841696357</v>
      </c>
      <c r="M26" s="453">
        <f t="shared" ca="1" si="4"/>
        <v>2113.9398841696357</v>
      </c>
      <c r="N26" s="453">
        <f t="shared" ca="1" si="4"/>
        <v>2113.9398841696357</v>
      </c>
    </row>
    <row r="27" spans="2:14" x14ac:dyDescent="0.4">
      <c r="B27" s="25" t="s">
        <v>125</v>
      </c>
      <c r="C27" s="27">
        <f t="shared" ref="C27:N27" ca="1" si="5">SUM(C19:C25)</f>
        <v>2113.9398841696357</v>
      </c>
      <c r="D27" s="27">
        <f t="shared" ca="1" si="5"/>
        <v>1652.3740298907967</v>
      </c>
      <c r="E27" s="27">
        <f t="shared" ca="1" si="5"/>
        <v>1322.0343127627461</v>
      </c>
      <c r="F27" s="27">
        <f t="shared" ca="1" si="5"/>
        <v>0</v>
      </c>
      <c r="G27" s="27">
        <f t="shared" ca="1" si="5"/>
        <v>1867.5110267272628</v>
      </c>
      <c r="H27" s="27">
        <f t="shared" ca="1" si="5"/>
        <v>1554.2545590004429</v>
      </c>
      <c r="I27" s="27">
        <f t="shared" ca="1" si="5"/>
        <v>1322.0343127627461</v>
      </c>
      <c r="J27" s="27">
        <f t="shared" ca="1" si="5"/>
        <v>1902.9195653292031</v>
      </c>
      <c r="K27" s="27">
        <f t="shared" ca="1" si="5"/>
        <v>1507.9022360000788</v>
      </c>
      <c r="L27" s="27">
        <f t="shared" si="5"/>
        <v>0</v>
      </c>
      <c r="M27" s="27">
        <f t="shared" si="5"/>
        <v>0</v>
      </c>
      <c r="N27" s="27">
        <f t="shared" si="5"/>
        <v>0</v>
      </c>
    </row>
    <row r="29" spans="2:14" x14ac:dyDescent="0.4">
      <c r="B29" s="663" t="s">
        <v>128</v>
      </c>
      <c r="C29" s="450" t="s">
        <v>21</v>
      </c>
      <c r="D29" s="451">
        <f ca="1">IFERROR(1-D27/$C$27,0)</f>
        <v>0.21834388845931818</v>
      </c>
      <c r="E29" s="451">
        <f t="shared" ref="E29:N29" ca="1" si="6">IFERROR(1-E27/$C$27,0)</f>
        <v>0.3746112069397628</v>
      </c>
      <c r="F29" s="451">
        <f t="shared" ca="1" si="6"/>
        <v>1</v>
      </c>
      <c r="G29" s="451">
        <f t="shared" ca="1" si="6"/>
        <v>0.11657325702011212</v>
      </c>
      <c r="H29" s="451">
        <f t="shared" ca="1" si="6"/>
        <v>0.26475933840901988</v>
      </c>
      <c r="I29" s="451">
        <f t="shared" ca="1" si="6"/>
        <v>0.3746112069397628</v>
      </c>
      <c r="J29" s="451">
        <f t="shared" ca="1" si="6"/>
        <v>9.9823235476406258E-2</v>
      </c>
      <c r="K29" s="451">
        <f t="shared" ca="1" si="6"/>
        <v>0.28668632098192848</v>
      </c>
      <c r="L29" s="451">
        <f t="shared" ca="1" si="6"/>
        <v>1</v>
      </c>
      <c r="M29" s="451">
        <f t="shared" ca="1" si="6"/>
        <v>1</v>
      </c>
      <c r="N29" s="451">
        <f t="shared" ca="1" si="6"/>
        <v>1</v>
      </c>
    </row>
    <row r="30" spans="2:14" x14ac:dyDescent="0.4">
      <c r="B30" s="663"/>
      <c r="D30" s="5" t="str">
        <f ca="1">IF(D29&lt;=0,"","Cost Savings: "&amp;TEXT(D29,"0%"))</f>
        <v>Cost Savings: 22%</v>
      </c>
      <c r="E30" s="5" t="str">
        <f t="shared" ref="E30:N30" ca="1" si="7">IF(E29&lt;=0,"","Cost Savings: "&amp;TEXT(E29,"0%"))</f>
        <v>Cost Savings: 37%</v>
      </c>
      <c r="F30" s="5" t="str">
        <f t="shared" ca="1" si="7"/>
        <v>Cost Savings: 100%</v>
      </c>
      <c r="G30" s="5" t="str">
        <f t="shared" ca="1" si="7"/>
        <v>Cost Savings: 12%</v>
      </c>
      <c r="H30" s="5" t="str">
        <f t="shared" ca="1" si="7"/>
        <v>Cost Savings: 26%</v>
      </c>
      <c r="I30" s="5" t="str">
        <f t="shared" ca="1" si="7"/>
        <v>Cost Savings: 37%</v>
      </c>
      <c r="J30" s="5" t="str">
        <f t="shared" ca="1" si="7"/>
        <v>Cost Savings: 10%</v>
      </c>
      <c r="K30" s="5" t="str">
        <f t="shared" ca="1" si="7"/>
        <v>Cost Savings: 29%</v>
      </c>
      <c r="L30" s="5" t="str">
        <f t="shared" ca="1" si="7"/>
        <v>Cost Savings: 100%</v>
      </c>
      <c r="M30" s="5" t="str">
        <f t="shared" ca="1" si="7"/>
        <v>Cost Savings: 100%</v>
      </c>
      <c r="N30" s="5" t="str">
        <f t="shared" ca="1" si="7"/>
        <v>Cost Savings: 100%</v>
      </c>
    </row>
  </sheetData>
  <mergeCells count="4">
    <mergeCell ref="B3:N3"/>
    <mergeCell ref="B15:B16"/>
    <mergeCell ref="B18:N18"/>
    <mergeCell ref="B29:B3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C9EDA-1336-40B2-8431-3DBCEA93E746}">
  <sheetPr>
    <tabColor theme="8" tint="0.39997558519241921"/>
  </sheetPr>
  <dimension ref="B1:CE65"/>
  <sheetViews>
    <sheetView zoomScale="85" zoomScaleNormal="85" workbookViewId="0">
      <selection activeCell="F53" sqref="F53"/>
    </sheetView>
  </sheetViews>
  <sheetFormatPr defaultRowHeight="12.45" x14ac:dyDescent="0.3"/>
  <cols>
    <col min="1" max="1" width="4.3828125" customWidth="1"/>
    <col min="2" max="2" width="12.3828125" bestFit="1" customWidth="1"/>
    <col min="3" max="4" width="8.69140625" customWidth="1"/>
    <col min="5" max="11" width="8.3828125" bestFit="1" customWidth="1"/>
    <col min="12" max="12" width="7.3046875" customWidth="1"/>
    <col min="13" max="13" width="16.53515625" bestFit="1" customWidth="1"/>
    <col min="14" max="14" width="8.84375" bestFit="1" customWidth="1"/>
    <col min="15" max="15" width="10" bestFit="1" customWidth="1"/>
    <col min="16" max="17" width="11.3046875" bestFit="1" customWidth="1"/>
    <col min="18" max="18" width="9.3046875" bestFit="1" customWidth="1"/>
    <col min="19" max="19" width="8.69140625" bestFit="1" customWidth="1"/>
    <col min="20" max="20" width="4.69140625" customWidth="1"/>
    <col min="21" max="21" width="16.53515625" bestFit="1" customWidth="1"/>
    <col min="22" max="22" width="9.53515625" bestFit="1" customWidth="1"/>
    <col min="23" max="23" width="10.3828125" bestFit="1" customWidth="1"/>
    <col min="24" max="26" width="11.3046875" bestFit="1" customWidth="1"/>
    <col min="27" max="27" width="8.69140625" bestFit="1" customWidth="1"/>
    <col min="29" max="29" width="16.53515625" bestFit="1" customWidth="1"/>
    <col min="30" max="30" width="14.3828125" bestFit="1" customWidth="1"/>
    <col min="31" max="31" width="7.69140625" bestFit="1" customWidth="1"/>
    <col min="32" max="33" width="11.3046875" bestFit="1" customWidth="1"/>
    <col min="34" max="34" width="9.3046875" bestFit="1" customWidth="1"/>
    <col min="35" max="35" width="6.69140625" bestFit="1" customWidth="1"/>
    <col min="36" max="36" width="6.3046875" bestFit="1" customWidth="1"/>
    <col min="37" max="37" width="16.53515625" bestFit="1" customWidth="1"/>
    <col min="38" max="38" width="8.84375" bestFit="1" customWidth="1"/>
    <col min="39" max="39" width="7.69140625" bestFit="1" customWidth="1"/>
    <col min="40" max="41" width="11.3046875" bestFit="1" customWidth="1"/>
    <col min="42" max="42" width="9.3046875" bestFit="1" customWidth="1"/>
    <col min="43" max="43" width="6.69140625" bestFit="1" customWidth="1"/>
    <col min="45" max="45" width="16.53515625" bestFit="1" customWidth="1"/>
    <col min="46" max="46" width="8.84375" bestFit="1" customWidth="1"/>
    <col min="47" max="47" width="7.69140625" bestFit="1" customWidth="1"/>
    <col min="48" max="49" width="11.3046875" bestFit="1" customWidth="1"/>
    <col min="50" max="50" width="9.3046875" bestFit="1" customWidth="1"/>
    <col min="51" max="51" width="6.69140625" bestFit="1" customWidth="1"/>
    <col min="53" max="53" width="16.53515625" bestFit="1" customWidth="1"/>
    <col min="54" max="54" width="8.84375" bestFit="1" customWidth="1"/>
    <col min="55" max="55" width="7.69140625" bestFit="1" customWidth="1"/>
    <col min="56" max="57" width="11.3046875" bestFit="1" customWidth="1"/>
    <col min="58" max="58" width="9.3046875" bestFit="1" customWidth="1"/>
    <col min="59" max="59" width="6.69140625" bestFit="1" customWidth="1"/>
    <col min="61" max="61" width="16.53515625" bestFit="1" customWidth="1"/>
    <col min="62" max="62" width="8.84375" bestFit="1" customWidth="1"/>
    <col min="63" max="63" width="7.69140625" bestFit="1" customWidth="1"/>
    <col min="64" max="65" width="11.3046875" bestFit="1" customWidth="1"/>
    <col min="66" max="66" width="9.3046875" bestFit="1" customWidth="1"/>
    <col min="67" max="67" width="6.69140625" bestFit="1" customWidth="1"/>
    <col min="69" max="69" width="16.53515625" bestFit="1" customWidth="1"/>
    <col min="70" max="70" width="8.84375" bestFit="1" customWidth="1"/>
    <col min="71" max="71" width="7.69140625" bestFit="1" customWidth="1"/>
    <col min="72" max="73" width="11.3046875" bestFit="1" customWidth="1"/>
    <col min="74" max="74" width="9.3046875" bestFit="1" customWidth="1"/>
    <col min="75" max="75" width="6.69140625" bestFit="1" customWidth="1"/>
    <col min="77" max="77" width="16.53515625" bestFit="1" customWidth="1"/>
    <col min="78" max="78" width="8.84375" bestFit="1" customWidth="1"/>
    <col min="79" max="79" width="7.69140625" bestFit="1" customWidth="1"/>
    <col min="80" max="81" width="11.3046875" bestFit="1" customWidth="1"/>
    <col min="82" max="82" width="9.3046875" bestFit="1" customWidth="1"/>
    <col min="83" max="83" width="6.69140625" bestFit="1" customWidth="1"/>
  </cols>
  <sheetData>
    <row r="1" spans="5:82" x14ac:dyDescent="0.3">
      <c r="M1" s="1"/>
      <c r="AK1" s="1"/>
    </row>
    <row r="2" spans="5:82" ht="12.9" thickBot="1" x14ac:dyDescent="0.35">
      <c r="E2" s="97" t="s">
        <v>88</v>
      </c>
      <c r="F2" s="96"/>
      <c r="G2" s="96"/>
      <c r="M2" s="79" t="str">
        <f>C25</f>
        <v>Baseline</v>
      </c>
      <c r="N2" s="1"/>
      <c r="O2" s="1"/>
      <c r="P2" s="1"/>
      <c r="Q2" s="1"/>
      <c r="R2" s="1"/>
      <c r="S2" s="1"/>
      <c r="U2" s="45" t="str">
        <f>D25</f>
        <v>Proposed: 1</v>
      </c>
      <c r="AC2" s="45" t="str">
        <f>E25</f>
        <v>Proposed: 2</v>
      </c>
      <c r="AK2" s="45" t="str">
        <f>F25</f>
        <v>Proposed: 3</v>
      </c>
      <c r="AL2" s="1"/>
      <c r="AM2" s="1"/>
      <c r="AN2" s="1"/>
      <c r="AO2" s="1"/>
      <c r="AP2" s="1"/>
      <c r="AQ2" s="1"/>
      <c r="AS2" s="45" t="str">
        <f>G25</f>
        <v>Proposed: 4</v>
      </c>
      <c r="BA2" s="45" t="str">
        <f>H25</f>
        <v>Proposed: 5</v>
      </c>
      <c r="BI2" s="45" t="str">
        <f>I25</f>
        <v>Proposed: 6</v>
      </c>
      <c r="BQ2" s="45" t="str">
        <f>J25</f>
        <v>Proposed: 7</v>
      </c>
      <c r="BY2" s="45" t="str">
        <f>K25</f>
        <v>Proposed: 8</v>
      </c>
    </row>
    <row r="3" spans="5:82" ht="37.75" thickBot="1" x14ac:dyDescent="0.35">
      <c r="E3" s="64" t="s">
        <v>89</v>
      </c>
      <c r="F3" s="64" t="s">
        <v>90</v>
      </c>
      <c r="G3" s="64" t="s">
        <v>91</v>
      </c>
      <c r="H3" s="64" t="s">
        <v>92</v>
      </c>
      <c r="I3" s="64" t="s">
        <v>93</v>
      </c>
      <c r="J3" s="64" t="s">
        <v>94</v>
      </c>
      <c r="K3" s="64" t="s">
        <v>95</v>
      </c>
      <c r="L3" s="22"/>
      <c r="M3" s="38"/>
      <c r="N3" s="40" t="s">
        <v>96</v>
      </c>
      <c r="O3" s="40" t="s">
        <v>97</v>
      </c>
      <c r="P3" s="40" t="s">
        <v>98</v>
      </c>
      <c r="Q3" s="40" t="s">
        <v>99</v>
      </c>
      <c r="R3" s="40" t="s">
        <v>100</v>
      </c>
      <c r="U3" s="38"/>
      <c r="V3" s="40" t="s">
        <v>96</v>
      </c>
      <c r="W3" s="40" t="s">
        <v>97</v>
      </c>
      <c r="X3" s="40" t="s">
        <v>98</v>
      </c>
      <c r="Y3" s="40" t="s">
        <v>99</v>
      </c>
      <c r="Z3" s="40" t="s">
        <v>100</v>
      </c>
      <c r="AC3" s="38"/>
      <c r="AD3" s="40" t="s">
        <v>96</v>
      </c>
      <c r="AE3" s="40" t="s">
        <v>97</v>
      </c>
      <c r="AF3" s="40" t="s">
        <v>98</v>
      </c>
      <c r="AG3" s="40" t="s">
        <v>99</v>
      </c>
      <c r="AH3" s="40" t="s">
        <v>100</v>
      </c>
      <c r="AK3" s="38"/>
      <c r="AL3" s="40" t="s">
        <v>96</v>
      </c>
      <c r="AM3" s="40" t="s">
        <v>97</v>
      </c>
      <c r="AN3" s="40" t="s">
        <v>98</v>
      </c>
      <c r="AO3" s="40" t="s">
        <v>99</v>
      </c>
      <c r="AP3" s="40" t="s">
        <v>100</v>
      </c>
      <c r="AQ3" s="1"/>
      <c r="AS3" s="38"/>
      <c r="AT3" s="40" t="s">
        <v>96</v>
      </c>
      <c r="AU3" s="40" t="s">
        <v>97</v>
      </c>
      <c r="AV3" s="40" t="s">
        <v>98</v>
      </c>
      <c r="AW3" s="40" t="s">
        <v>99</v>
      </c>
      <c r="AX3" s="40" t="s">
        <v>100</v>
      </c>
      <c r="BA3" s="38"/>
      <c r="BB3" s="40" t="s">
        <v>96</v>
      </c>
      <c r="BC3" s="40" t="s">
        <v>97</v>
      </c>
      <c r="BD3" s="40" t="s">
        <v>98</v>
      </c>
      <c r="BE3" s="40" t="s">
        <v>99</v>
      </c>
      <c r="BF3" s="40" t="s">
        <v>100</v>
      </c>
      <c r="BI3" s="38"/>
      <c r="BJ3" s="40" t="s">
        <v>96</v>
      </c>
      <c r="BK3" s="40" t="s">
        <v>97</v>
      </c>
      <c r="BL3" s="40" t="s">
        <v>98</v>
      </c>
      <c r="BM3" s="40" t="s">
        <v>99</v>
      </c>
      <c r="BN3" s="40" t="s">
        <v>100</v>
      </c>
      <c r="BQ3" s="38"/>
      <c r="BR3" s="40" t="s">
        <v>96</v>
      </c>
      <c r="BS3" s="40" t="s">
        <v>97</v>
      </c>
      <c r="BT3" s="40" t="s">
        <v>98</v>
      </c>
      <c r="BU3" s="40" t="s">
        <v>99</v>
      </c>
      <c r="BV3" s="40" t="s">
        <v>100</v>
      </c>
      <c r="BY3" s="38"/>
      <c r="BZ3" s="40" t="s">
        <v>96</v>
      </c>
      <c r="CA3" s="40" t="s">
        <v>97</v>
      </c>
      <c r="CB3" s="40" t="s">
        <v>98</v>
      </c>
      <c r="CC3" s="40" t="s">
        <v>99</v>
      </c>
      <c r="CD3" s="40" t="s">
        <v>100</v>
      </c>
    </row>
    <row r="4" spans="5:82" ht="12.9" thickBot="1" x14ac:dyDescent="0.35">
      <c r="E4" s="3"/>
      <c r="F4" s="2" t="s">
        <v>101</v>
      </c>
      <c r="G4" s="3"/>
      <c r="H4" s="3"/>
      <c r="I4" s="3"/>
      <c r="J4" s="3"/>
      <c r="K4" s="3"/>
      <c r="L4" s="1"/>
      <c r="M4" s="39" t="s">
        <v>90</v>
      </c>
      <c r="N4" s="41"/>
      <c r="O4" s="41"/>
      <c r="P4" s="41"/>
      <c r="Q4" s="41"/>
      <c r="R4" s="41"/>
      <c r="U4" s="39" t="s">
        <v>90</v>
      </c>
      <c r="V4" s="41"/>
      <c r="W4" s="41"/>
      <c r="X4" s="41"/>
      <c r="Y4" s="41"/>
      <c r="Z4" s="41"/>
      <c r="AC4" s="39" t="s">
        <v>90</v>
      </c>
      <c r="AD4" s="41"/>
      <c r="AE4" s="41"/>
      <c r="AF4" s="41"/>
      <c r="AG4" s="41"/>
      <c r="AH4" s="41"/>
      <c r="AK4" s="39" t="s">
        <v>90</v>
      </c>
      <c r="AL4" s="41"/>
      <c r="AM4" s="41"/>
      <c r="AN4" s="41"/>
      <c r="AO4" s="41"/>
      <c r="AP4" s="41"/>
      <c r="AQ4" s="1"/>
      <c r="AS4" s="39" t="s">
        <v>90</v>
      </c>
      <c r="AT4" s="41"/>
      <c r="AU4" s="41"/>
      <c r="AV4" s="41"/>
      <c r="AW4" s="41"/>
      <c r="AX4" s="41"/>
      <c r="BA4" s="39" t="s">
        <v>90</v>
      </c>
      <c r="BB4" s="41"/>
      <c r="BC4" s="41"/>
      <c r="BD4" s="41"/>
      <c r="BE4" s="41"/>
      <c r="BF4" s="41"/>
      <c r="BI4" s="39" t="s">
        <v>90</v>
      </c>
      <c r="BJ4" s="41"/>
      <c r="BK4" s="41"/>
      <c r="BL4" s="41"/>
      <c r="BM4" s="41"/>
      <c r="BN4" s="41"/>
      <c r="BQ4" s="39" t="s">
        <v>90</v>
      </c>
      <c r="BR4" s="41"/>
      <c r="BS4" s="41"/>
      <c r="BT4" s="41"/>
      <c r="BU4" s="41"/>
      <c r="BV4" s="41"/>
      <c r="BY4" s="39" t="s">
        <v>90</v>
      </c>
      <c r="BZ4" s="41"/>
      <c r="CA4" s="41"/>
      <c r="CB4" s="41"/>
      <c r="CC4" s="41"/>
      <c r="CD4" s="41"/>
    </row>
    <row r="5" spans="5:82" ht="12.9" thickBot="1" x14ac:dyDescent="0.35">
      <c r="E5" s="3"/>
      <c r="F5" s="3"/>
      <c r="G5" s="2" t="s">
        <v>101</v>
      </c>
      <c r="H5" s="3"/>
      <c r="I5" s="3"/>
      <c r="J5" s="3"/>
      <c r="K5" s="3"/>
      <c r="L5" s="1"/>
      <c r="M5" s="39" t="s">
        <v>91</v>
      </c>
      <c r="N5" s="41"/>
      <c r="O5" s="41"/>
      <c r="P5" s="41"/>
      <c r="Q5" s="41"/>
      <c r="R5" s="41"/>
      <c r="U5" s="39" t="s">
        <v>91</v>
      </c>
      <c r="V5" s="41"/>
      <c r="W5" s="41"/>
      <c r="X5" s="41"/>
      <c r="Y5" s="41"/>
      <c r="Z5" s="41"/>
      <c r="AC5" s="39" t="s">
        <v>91</v>
      </c>
      <c r="AD5" s="41"/>
      <c r="AE5" s="41"/>
      <c r="AF5" s="41"/>
      <c r="AG5" s="41"/>
      <c r="AH5" s="41"/>
      <c r="AK5" s="39" t="s">
        <v>91</v>
      </c>
      <c r="AL5" s="41"/>
      <c r="AM5" s="41"/>
      <c r="AN5" s="41"/>
      <c r="AO5" s="41"/>
      <c r="AP5" s="41"/>
      <c r="AQ5" s="1"/>
      <c r="AS5" s="39" t="s">
        <v>91</v>
      </c>
      <c r="AT5" s="41"/>
      <c r="AU5" s="41"/>
      <c r="AV5" s="41"/>
      <c r="AW5" s="41"/>
      <c r="AX5" s="41"/>
      <c r="BA5" s="39" t="s">
        <v>91</v>
      </c>
      <c r="BB5" s="41"/>
      <c r="BC5" s="41"/>
      <c r="BD5" s="41"/>
      <c r="BE5" s="41"/>
      <c r="BF5" s="41"/>
      <c r="BI5" s="39" t="s">
        <v>91</v>
      </c>
      <c r="BJ5" s="41"/>
      <c r="BK5" s="41"/>
      <c r="BL5" s="41"/>
      <c r="BM5" s="41"/>
      <c r="BN5" s="41"/>
      <c r="BQ5" s="39" t="s">
        <v>91</v>
      </c>
      <c r="BR5" s="41"/>
      <c r="BS5" s="41"/>
      <c r="BT5" s="41"/>
      <c r="BU5" s="41"/>
      <c r="BV5" s="41"/>
      <c r="BY5" s="39" t="s">
        <v>91</v>
      </c>
      <c r="BZ5" s="41"/>
      <c r="CA5" s="41"/>
      <c r="CB5" s="41"/>
      <c r="CC5" s="41"/>
      <c r="CD5" s="41"/>
    </row>
    <row r="6" spans="5:82" ht="12.9" thickBot="1" x14ac:dyDescent="0.35">
      <c r="E6" s="3"/>
      <c r="F6" s="3"/>
      <c r="G6" s="3"/>
      <c r="H6" s="3"/>
      <c r="I6" s="2" t="s">
        <v>101</v>
      </c>
      <c r="J6" s="3"/>
      <c r="K6" s="3"/>
      <c r="L6" s="1"/>
      <c r="M6" s="39" t="s">
        <v>102</v>
      </c>
      <c r="N6" s="41"/>
      <c r="O6" s="41"/>
      <c r="P6" s="41"/>
      <c r="Q6" s="41"/>
      <c r="R6" s="41"/>
      <c r="U6" s="39" t="s">
        <v>102</v>
      </c>
      <c r="V6" s="41"/>
      <c r="W6" s="41"/>
      <c r="X6" s="41"/>
      <c r="Y6" s="41"/>
      <c r="Z6" s="41"/>
      <c r="AC6" s="39" t="s">
        <v>102</v>
      </c>
      <c r="AD6" s="41"/>
      <c r="AE6" s="41"/>
      <c r="AF6" s="41"/>
      <c r="AG6" s="41"/>
      <c r="AH6" s="41"/>
      <c r="AK6" s="39" t="s">
        <v>102</v>
      </c>
      <c r="AL6" s="41"/>
      <c r="AM6" s="41"/>
      <c r="AN6" s="41"/>
      <c r="AO6" s="41"/>
      <c r="AP6" s="41"/>
      <c r="AQ6" s="1"/>
      <c r="AS6" s="39" t="s">
        <v>102</v>
      </c>
      <c r="AT6" s="41"/>
      <c r="AU6" s="41"/>
      <c r="AV6" s="41"/>
      <c r="AW6" s="41"/>
      <c r="AX6" s="41"/>
      <c r="BA6" s="39" t="s">
        <v>102</v>
      </c>
      <c r="BB6" s="41"/>
      <c r="BC6" s="41"/>
      <c r="BD6" s="41"/>
      <c r="BE6" s="41"/>
      <c r="BF6" s="41"/>
      <c r="BI6" s="39" t="s">
        <v>102</v>
      </c>
      <c r="BJ6" s="41"/>
      <c r="BK6" s="41"/>
      <c r="BL6" s="41"/>
      <c r="BM6" s="41"/>
      <c r="BN6" s="41"/>
      <c r="BQ6" s="39" t="s">
        <v>102</v>
      </c>
      <c r="BR6" s="41"/>
      <c r="BS6" s="41"/>
      <c r="BT6" s="41"/>
      <c r="BU6" s="41"/>
      <c r="BV6" s="41"/>
      <c r="BY6" s="39" t="s">
        <v>102</v>
      </c>
      <c r="BZ6" s="41"/>
      <c r="CA6" s="41"/>
      <c r="CB6" s="41"/>
      <c r="CC6" s="41"/>
      <c r="CD6" s="41"/>
    </row>
    <row r="7" spans="5:82" ht="12.9" thickBot="1" x14ac:dyDescent="0.35">
      <c r="E7" s="3"/>
      <c r="F7" s="3"/>
      <c r="G7" s="3"/>
      <c r="H7" s="2" t="s">
        <v>101</v>
      </c>
      <c r="I7" s="3"/>
      <c r="J7" s="3"/>
      <c r="K7" s="3"/>
      <c r="L7" s="1"/>
      <c r="M7" s="39" t="s">
        <v>103</v>
      </c>
      <c r="N7" s="41"/>
      <c r="O7" s="41"/>
      <c r="P7" s="41"/>
      <c r="Q7" s="41"/>
      <c r="R7" s="41"/>
      <c r="U7" s="39" t="s">
        <v>103</v>
      </c>
      <c r="V7" s="41"/>
      <c r="W7" s="41"/>
      <c r="X7" s="41"/>
      <c r="Y7" s="41"/>
      <c r="Z7" s="41"/>
      <c r="AC7" s="39" t="s">
        <v>103</v>
      </c>
      <c r="AD7" s="41"/>
      <c r="AE7" s="41"/>
      <c r="AF7" s="41"/>
      <c r="AG7" s="41"/>
      <c r="AH7" s="41"/>
      <c r="AK7" s="39" t="s">
        <v>103</v>
      </c>
      <c r="AL7" s="41"/>
      <c r="AM7" s="41"/>
      <c r="AN7" s="41"/>
      <c r="AO7" s="41"/>
      <c r="AP7" s="41"/>
      <c r="AQ7" s="1"/>
      <c r="AS7" s="39" t="s">
        <v>103</v>
      </c>
      <c r="AT7" s="41"/>
      <c r="AU7" s="41"/>
      <c r="AV7" s="41"/>
      <c r="AW7" s="41"/>
      <c r="AX7" s="41"/>
      <c r="BA7" s="39" t="s">
        <v>103</v>
      </c>
      <c r="BB7" s="41"/>
      <c r="BC7" s="41"/>
      <c r="BD7" s="41"/>
      <c r="BE7" s="41"/>
      <c r="BF7" s="41"/>
      <c r="BI7" s="39" t="s">
        <v>103</v>
      </c>
      <c r="BJ7" s="41"/>
      <c r="BK7" s="41"/>
      <c r="BL7" s="41"/>
      <c r="BM7" s="41"/>
      <c r="BN7" s="41"/>
      <c r="BQ7" s="39" t="s">
        <v>103</v>
      </c>
      <c r="BR7" s="41"/>
      <c r="BS7" s="41"/>
      <c r="BT7" s="41"/>
      <c r="BU7" s="41"/>
      <c r="BV7" s="41"/>
      <c r="BY7" s="39" t="s">
        <v>103</v>
      </c>
      <c r="BZ7" s="41"/>
      <c r="CA7" s="41"/>
      <c r="CB7" s="41"/>
      <c r="CC7" s="41"/>
      <c r="CD7" s="41"/>
    </row>
    <row r="8" spans="5:82" ht="12.9" thickBot="1" x14ac:dyDescent="0.35">
      <c r="E8" s="3"/>
      <c r="F8" s="3"/>
      <c r="G8" s="2" t="s">
        <v>101</v>
      </c>
      <c r="H8" s="3"/>
      <c r="I8" s="3"/>
      <c r="J8" s="3"/>
      <c r="K8" s="3"/>
      <c r="L8" s="1"/>
      <c r="M8" s="39" t="s">
        <v>104</v>
      </c>
      <c r="N8" s="41"/>
      <c r="O8" s="41"/>
      <c r="P8" s="41"/>
      <c r="Q8" s="41"/>
      <c r="R8" s="41"/>
      <c r="U8" s="39" t="s">
        <v>104</v>
      </c>
      <c r="V8" s="41"/>
      <c r="W8" s="41"/>
      <c r="X8" s="41"/>
      <c r="Y8" s="41"/>
      <c r="Z8" s="41"/>
      <c r="AC8" s="39" t="s">
        <v>104</v>
      </c>
      <c r="AD8" s="41"/>
      <c r="AE8" s="41"/>
      <c r="AF8" s="41"/>
      <c r="AG8" s="41"/>
      <c r="AH8" s="41"/>
      <c r="AK8" s="39" t="s">
        <v>104</v>
      </c>
      <c r="AL8" s="41"/>
      <c r="AM8" s="41"/>
      <c r="AN8" s="41"/>
      <c r="AO8" s="41"/>
      <c r="AP8" s="41"/>
      <c r="AQ8" s="1"/>
      <c r="AS8" s="39" t="s">
        <v>104</v>
      </c>
      <c r="AT8" s="41"/>
      <c r="AU8" s="41"/>
      <c r="AV8" s="41"/>
      <c r="AW8" s="41"/>
      <c r="AX8" s="41"/>
      <c r="BA8" s="39" t="s">
        <v>104</v>
      </c>
      <c r="BB8" s="41"/>
      <c r="BC8" s="41"/>
      <c r="BD8" s="41"/>
      <c r="BE8" s="41"/>
      <c r="BF8" s="41"/>
      <c r="BI8" s="39" t="s">
        <v>104</v>
      </c>
      <c r="BJ8" s="41"/>
      <c r="BK8" s="41"/>
      <c r="BL8" s="41"/>
      <c r="BM8" s="41"/>
      <c r="BN8" s="41"/>
      <c r="BQ8" s="39" t="s">
        <v>104</v>
      </c>
      <c r="BR8" s="41"/>
      <c r="BS8" s="41"/>
      <c r="BT8" s="41"/>
      <c r="BU8" s="41"/>
      <c r="BV8" s="41"/>
      <c r="BY8" s="39" t="s">
        <v>104</v>
      </c>
      <c r="BZ8" s="41"/>
      <c r="CA8" s="41"/>
      <c r="CB8" s="41"/>
      <c r="CC8" s="41"/>
      <c r="CD8" s="41"/>
    </row>
    <row r="9" spans="5:82" ht="12.9" thickBot="1" x14ac:dyDescent="0.35">
      <c r="E9" s="3"/>
      <c r="F9" s="2" t="s">
        <v>101</v>
      </c>
      <c r="G9" s="3"/>
      <c r="H9" s="3"/>
      <c r="I9" s="3"/>
      <c r="J9" s="3"/>
      <c r="K9" s="3"/>
      <c r="L9" s="1"/>
      <c r="M9" s="39" t="s">
        <v>105</v>
      </c>
      <c r="N9" s="41"/>
      <c r="O9" s="41"/>
      <c r="P9" s="41"/>
      <c r="Q9" s="41"/>
      <c r="R9" s="41"/>
      <c r="U9" s="39" t="s">
        <v>105</v>
      </c>
      <c r="V9" s="41"/>
      <c r="W9" s="41"/>
      <c r="X9" s="41"/>
      <c r="Y9" s="41"/>
      <c r="Z9" s="41"/>
      <c r="AC9" s="39" t="s">
        <v>105</v>
      </c>
      <c r="AD9" s="41"/>
      <c r="AE9" s="41"/>
      <c r="AF9" s="41"/>
      <c r="AG9" s="41"/>
      <c r="AH9" s="41"/>
      <c r="AK9" s="39" t="s">
        <v>105</v>
      </c>
      <c r="AL9" s="41"/>
      <c r="AM9" s="41"/>
      <c r="AN9" s="41"/>
      <c r="AO9" s="41"/>
      <c r="AP9" s="41"/>
      <c r="AQ9" s="1"/>
      <c r="AS9" s="39" t="s">
        <v>105</v>
      </c>
      <c r="AT9" s="41"/>
      <c r="AU9" s="41"/>
      <c r="AV9" s="41"/>
      <c r="AW9" s="41"/>
      <c r="AX9" s="41"/>
      <c r="BA9" s="39" t="s">
        <v>105</v>
      </c>
      <c r="BB9" s="41"/>
      <c r="BC9" s="41"/>
      <c r="BD9" s="41"/>
      <c r="BE9" s="41"/>
      <c r="BF9" s="41"/>
      <c r="BI9" s="39" t="s">
        <v>105</v>
      </c>
      <c r="BJ9" s="41"/>
      <c r="BK9" s="41"/>
      <c r="BL9" s="41"/>
      <c r="BM9" s="41"/>
      <c r="BN9" s="41"/>
      <c r="BQ9" s="39" t="s">
        <v>105</v>
      </c>
      <c r="BR9" s="41"/>
      <c r="BS9" s="41"/>
      <c r="BT9" s="41"/>
      <c r="BU9" s="41"/>
      <c r="BV9" s="41"/>
      <c r="BY9" s="39" t="s">
        <v>105</v>
      </c>
      <c r="BZ9" s="41"/>
      <c r="CA9" s="41"/>
      <c r="CB9" s="41"/>
      <c r="CC9" s="41"/>
      <c r="CD9" s="41"/>
    </row>
    <row r="10" spans="5:82" ht="12.9" thickBot="1" x14ac:dyDescent="0.35">
      <c r="E10" s="3"/>
      <c r="F10" s="2" t="s">
        <v>101</v>
      </c>
      <c r="G10" s="3"/>
      <c r="H10" s="3"/>
      <c r="I10" s="3"/>
      <c r="J10" s="3"/>
      <c r="K10" s="3"/>
      <c r="L10" s="1"/>
      <c r="M10" s="39" t="s">
        <v>73</v>
      </c>
      <c r="N10" s="41"/>
      <c r="O10" s="41"/>
      <c r="P10" s="41"/>
      <c r="Q10" s="41"/>
      <c r="R10" s="41"/>
      <c r="U10" s="39" t="s">
        <v>73</v>
      </c>
      <c r="V10" s="41"/>
      <c r="W10" s="41"/>
      <c r="X10" s="41"/>
      <c r="Y10" s="41"/>
      <c r="Z10" s="41"/>
      <c r="AC10" s="39" t="s">
        <v>73</v>
      </c>
      <c r="AD10" s="41"/>
      <c r="AE10" s="41"/>
      <c r="AF10" s="41"/>
      <c r="AG10" s="41"/>
      <c r="AH10" s="41"/>
      <c r="AK10" s="39" t="s">
        <v>73</v>
      </c>
      <c r="AL10" s="41"/>
      <c r="AM10" s="41"/>
      <c r="AN10" s="41"/>
      <c r="AO10" s="41"/>
      <c r="AP10" s="41"/>
      <c r="AQ10" s="1"/>
      <c r="AS10" s="39" t="s">
        <v>73</v>
      </c>
      <c r="AT10" s="41"/>
      <c r="AU10" s="41"/>
      <c r="AV10" s="41"/>
      <c r="AW10" s="41"/>
      <c r="AX10" s="41"/>
      <c r="BA10" s="39" t="s">
        <v>73</v>
      </c>
      <c r="BB10" s="41"/>
      <c r="BC10" s="41"/>
      <c r="BD10" s="41"/>
      <c r="BE10" s="41"/>
      <c r="BF10" s="41"/>
      <c r="BI10" s="39" t="s">
        <v>73</v>
      </c>
      <c r="BJ10" s="41"/>
      <c r="BK10" s="41"/>
      <c r="BL10" s="41"/>
      <c r="BM10" s="41"/>
      <c r="BN10" s="41"/>
      <c r="BQ10" s="39" t="s">
        <v>73</v>
      </c>
      <c r="BR10" s="41"/>
      <c r="BS10" s="41"/>
      <c r="BT10" s="41"/>
      <c r="BU10" s="41"/>
      <c r="BV10" s="41"/>
      <c r="BY10" s="39" t="s">
        <v>73</v>
      </c>
      <c r="BZ10" s="41"/>
      <c r="CA10" s="41"/>
      <c r="CB10" s="41"/>
      <c r="CC10" s="41"/>
      <c r="CD10" s="41"/>
    </row>
    <row r="11" spans="5:82" ht="12.9" thickBot="1" x14ac:dyDescent="0.35">
      <c r="E11" s="112"/>
      <c r="F11" s="112"/>
      <c r="G11" s="112"/>
      <c r="H11" s="112"/>
      <c r="I11" s="112"/>
      <c r="J11" s="112"/>
      <c r="K11" s="112"/>
      <c r="L11" s="1"/>
      <c r="M11" s="111" t="s">
        <v>106</v>
      </c>
      <c r="N11" s="41"/>
      <c r="O11" s="41"/>
      <c r="P11" s="41"/>
      <c r="Q11" s="41"/>
      <c r="R11" s="41"/>
      <c r="U11" s="111" t="s">
        <v>106</v>
      </c>
      <c r="V11" s="41"/>
      <c r="W11" s="41"/>
      <c r="X11" s="41"/>
      <c r="Y11" s="41"/>
      <c r="Z11" s="41"/>
      <c r="AC11" s="111" t="s">
        <v>106</v>
      </c>
      <c r="AD11" s="41"/>
      <c r="AE11" s="41"/>
      <c r="AF11" s="41"/>
      <c r="AG11" s="41"/>
      <c r="AH11" s="41"/>
      <c r="AK11" s="111" t="s">
        <v>106</v>
      </c>
      <c r="AL11" s="41"/>
      <c r="AM11" s="41"/>
      <c r="AN11" s="41"/>
      <c r="AO11" s="41"/>
      <c r="AP11" s="41"/>
      <c r="AQ11" s="1"/>
      <c r="AS11" s="111" t="s">
        <v>106</v>
      </c>
      <c r="AT11" s="41"/>
      <c r="AU11" s="41"/>
      <c r="AV11" s="41"/>
      <c r="AW11" s="41"/>
      <c r="AX11" s="41"/>
      <c r="BA11" s="111" t="s">
        <v>106</v>
      </c>
      <c r="BB11" s="41"/>
      <c r="BC11" s="41"/>
      <c r="BD11" s="41"/>
      <c r="BE11" s="41"/>
      <c r="BF11" s="41"/>
      <c r="BI11" s="111" t="s">
        <v>106</v>
      </c>
      <c r="BJ11" s="41"/>
      <c r="BK11" s="41"/>
      <c r="BL11" s="41"/>
      <c r="BM11" s="41"/>
      <c r="BN11" s="41"/>
      <c r="BQ11" s="111" t="s">
        <v>106</v>
      </c>
      <c r="BR11" s="41"/>
      <c r="BS11" s="41"/>
      <c r="BT11" s="41"/>
      <c r="BU11" s="41"/>
      <c r="BV11" s="41"/>
      <c r="BY11" s="111" t="s">
        <v>106</v>
      </c>
      <c r="BZ11" s="41"/>
      <c r="CA11" s="41"/>
      <c r="CB11" s="41"/>
      <c r="CC11" s="41"/>
      <c r="CD11" s="41"/>
    </row>
    <row r="12" spans="5:82" ht="12.9" thickBot="1" x14ac:dyDescent="0.35">
      <c r="E12" s="3"/>
      <c r="F12" s="3"/>
      <c r="G12" s="3"/>
      <c r="H12" s="3"/>
      <c r="I12" s="3"/>
      <c r="J12" s="3"/>
      <c r="K12" s="2" t="s">
        <v>101</v>
      </c>
      <c r="L12" s="1"/>
      <c r="M12" s="39" t="s">
        <v>107</v>
      </c>
      <c r="N12" s="41"/>
      <c r="O12" s="41"/>
      <c r="P12" s="41"/>
      <c r="Q12" s="41"/>
      <c r="R12" s="41"/>
      <c r="U12" s="39" t="s">
        <v>107</v>
      </c>
      <c r="V12" s="41"/>
      <c r="W12" s="41"/>
      <c r="X12" s="41"/>
      <c r="Y12" s="41"/>
      <c r="Z12" s="41"/>
      <c r="AC12" s="39" t="s">
        <v>107</v>
      </c>
      <c r="AD12" s="41"/>
      <c r="AE12" s="41"/>
      <c r="AF12" s="41"/>
      <c r="AG12" s="41"/>
      <c r="AH12" s="41"/>
      <c r="AK12" s="39" t="s">
        <v>107</v>
      </c>
      <c r="AL12" s="41"/>
      <c r="AM12" s="41"/>
      <c r="AN12" s="41"/>
      <c r="AO12" s="41"/>
      <c r="AP12" s="41"/>
      <c r="AQ12" s="1"/>
      <c r="AS12" s="39" t="s">
        <v>107</v>
      </c>
      <c r="AT12" s="41"/>
      <c r="AU12" s="41"/>
      <c r="AV12" s="41"/>
      <c r="AW12" s="41"/>
      <c r="AX12" s="41"/>
      <c r="BA12" s="39" t="s">
        <v>107</v>
      </c>
      <c r="BB12" s="41"/>
      <c r="BC12" s="41"/>
      <c r="BD12" s="41"/>
      <c r="BE12" s="41"/>
      <c r="BF12" s="41"/>
      <c r="BI12" s="39" t="s">
        <v>107</v>
      </c>
      <c r="BJ12" s="41"/>
      <c r="BK12" s="41"/>
      <c r="BL12" s="41"/>
      <c r="BM12" s="41"/>
      <c r="BN12" s="41"/>
      <c r="BQ12" s="39" t="s">
        <v>107</v>
      </c>
      <c r="BR12" s="41"/>
      <c r="BS12" s="41"/>
      <c r="BT12" s="41"/>
      <c r="BU12" s="41"/>
      <c r="BV12" s="41"/>
      <c r="BY12" s="39" t="s">
        <v>107</v>
      </c>
      <c r="BZ12" s="41"/>
      <c r="CA12" s="41"/>
      <c r="CB12" s="41"/>
      <c r="CC12" s="41"/>
      <c r="CD12" s="41"/>
    </row>
    <row r="13" spans="5:82" ht="12.9" thickBot="1" x14ac:dyDescent="0.35">
      <c r="E13" s="2" t="s">
        <v>101</v>
      </c>
      <c r="F13" s="3"/>
      <c r="G13" s="3"/>
      <c r="H13" s="3"/>
      <c r="I13" s="3"/>
      <c r="J13" s="3"/>
      <c r="K13" s="3"/>
      <c r="L13" s="1"/>
      <c r="M13" s="39" t="s">
        <v>108</v>
      </c>
      <c r="N13" s="41"/>
      <c r="O13" s="41"/>
      <c r="P13" s="41"/>
      <c r="Q13" s="41"/>
      <c r="R13" s="41"/>
      <c r="U13" s="39" t="s">
        <v>108</v>
      </c>
      <c r="V13" s="41"/>
      <c r="W13" s="41"/>
      <c r="X13" s="41"/>
      <c r="Y13" s="41"/>
      <c r="Z13" s="41"/>
      <c r="AC13" s="39" t="s">
        <v>108</v>
      </c>
      <c r="AD13" s="41"/>
      <c r="AE13" s="41"/>
      <c r="AF13" s="41"/>
      <c r="AG13" s="41"/>
      <c r="AH13" s="41"/>
      <c r="AK13" s="39" t="s">
        <v>108</v>
      </c>
      <c r="AL13" s="41"/>
      <c r="AM13" s="41"/>
      <c r="AN13" s="41"/>
      <c r="AO13" s="41"/>
      <c r="AP13" s="41"/>
      <c r="AQ13" s="1"/>
      <c r="AS13" s="39" t="s">
        <v>108</v>
      </c>
      <c r="AT13" s="41"/>
      <c r="AU13" s="41"/>
      <c r="AV13" s="41"/>
      <c r="AW13" s="41"/>
      <c r="AX13" s="41"/>
      <c r="BA13" s="39" t="s">
        <v>108</v>
      </c>
      <c r="BB13" s="41"/>
      <c r="BC13" s="41"/>
      <c r="BD13" s="41"/>
      <c r="BE13" s="41"/>
      <c r="BF13" s="41"/>
      <c r="BI13" s="39" t="s">
        <v>108</v>
      </c>
      <c r="BJ13" s="41"/>
      <c r="BK13" s="41"/>
      <c r="BL13" s="41"/>
      <c r="BM13" s="41"/>
      <c r="BN13" s="41"/>
      <c r="BQ13" s="39" t="s">
        <v>108</v>
      </c>
      <c r="BR13" s="41"/>
      <c r="BS13" s="41"/>
      <c r="BT13" s="41"/>
      <c r="BU13" s="41"/>
      <c r="BV13" s="41"/>
      <c r="BY13" s="39" t="s">
        <v>108</v>
      </c>
      <c r="BZ13" s="41"/>
      <c r="CA13" s="41"/>
      <c r="CB13" s="41"/>
      <c r="CC13" s="41"/>
      <c r="CD13" s="41"/>
    </row>
    <row r="14" spans="5:82" ht="12.9" thickBot="1" x14ac:dyDescent="0.35">
      <c r="E14" s="2" t="s">
        <v>101</v>
      </c>
      <c r="F14" s="3"/>
      <c r="G14" s="3"/>
      <c r="H14" s="3"/>
      <c r="I14" s="3"/>
      <c r="J14" s="3"/>
      <c r="K14" s="3"/>
      <c r="L14" s="1"/>
      <c r="M14" s="39" t="s">
        <v>109</v>
      </c>
      <c r="N14" s="41"/>
      <c r="O14" s="41"/>
      <c r="P14" s="41"/>
      <c r="Q14" s="41"/>
      <c r="R14" s="41"/>
      <c r="U14" s="39" t="s">
        <v>109</v>
      </c>
      <c r="V14" s="41"/>
      <c r="W14" s="41"/>
      <c r="X14" s="41"/>
      <c r="Y14" s="41"/>
      <c r="Z14" s="41"/>
      <c r="AC14" s="39" t="s">
        <v>109</v>
      </c>
      <c r="AD14" s="41"/>
      <c r="AE14" s="41"/>
      <c r="AF14" s="41"/>
      <c r="AG14" s="41"/>
      <c r="AH14" s="41"/>
      <c r="AK14" s="39" t="s">
        <v>109</v>
      </c>
      <c r="AL14" s="41"/>
      <c r="AM14" s="41"/>
      <c r="AN14" s="41"/>
      <c r="AO14" s="41"/>
      <c r="AP14" s="41"/>
      <c r="AQ14" s="1"/>
      <c r="AS14" s="39" t="s">
        <v>109</v>
      </c>
      <c r="AT14" s="41"/>
      <c r="AU14" s="41"/>
      <c r="AV14" s="41"/>
      <c r="AW14" s="41"/>
      <c r="AX14" s="41"/>
      <c r="BA14" s="39" t="s">
        <v>109</v>
      </c>
      <c r="BB14" s="41"/>
      <c r="BC14" s="41"/>
      <c r="BD14" s="41"/>
      <c r="BE14" s="41"/>
      <c r="BF14" s="41"/>
      <c r="BI14" s="39" t="s">
        <v>109</v>
      </c>
      <c r="BJ14" s="41"/>
      <c r="BK14" s="41"/>
      <c r="BL14" s="41"/>
      <c r="BM14" s="41"/>
      <c r="BN14" s="41"/>
      <c r="BQ14" s="39" t="s">
        <v>109</v>
      </c>
      <c r="BR14" s="41"/>
      <c r="BS14" s="41"/>
      <c r="BT14" s="41"/>
      <c r="BU14" s="41"/>
      <c r="BV14" s="41"/>
      <c r="BY14" s="39" t="s">
        <v>109</v>
      </c>
      <c r="BZ14" s="41"/>
      <c r="CA14" s="41"/>
      <c r="CB14" s="41"/>
      <c r="CC14" s="41"/>
      <c r="CD14" s="41"/>
    </row>
    <row r="15" spans="5:82" ht="12.9" thickBot="1" x14ac:dyDescent="0.35">
      <c r="E15" s="3"/>
      <c r="F15" s="3"/>
      <c r="G15" s="3"/>
      <c r="H15" s="3"/>
      <c r="I15" s="3"/>
      <c r="J15" s="2" t="s">
        <v>101</v>
      </c>
      <c r="K15" s="3"/>
      <c r="L15" s="1"/>
      <c r="M15" s="39" t="s">
        <v>110</v>
      </c>
      <c r="N15" s="41"/>
      <c r="O15" s="41"/>
      <c r="P15" s="41"/>
      <c r="Q15" s="41"/>
      <c r="R15" s="41"/>
      <c r="U15" s="39" t="s">
        <v>110</v>
      </c>
      <c r="V15" s="41"/>
      <c r="W15" s="41"/>
      <c r="X15" s="41"/>
      <c r="Y15" s="41"/>
      <c r="Z15" s="41"/>
      <c r="AC15" s="39" t="s">
        <v>110</v>
      </c>
      <c r="AD15" s="41"/>
      <c r="AE15" s="41"/>
      <c r="AF15" s="41"/>
      <c r="AG15" s="41"/>
      <c r="AH15" s="41"/>
      <c r="AK15" s="39" t="s">
        <v>110</v>
      </c>
      <c r="AL15" s="41"/>
      <c r="AM15" s="41"/>
      <c r="AN15" s="41"/>
      <c r="AO15" s="41"/>
      <c r="AP15" s="41"/>
      <c r="AQ15" s="1"/>
      <c r="AS15" s="39" t="s">
        <v>110</v>
      </c>
      <c r="AT15" s="41"/>
      <c r="AU15" s="41"/>
      <c r="AV15" s="41"/>
      <c r="AW15" s="41"/>
      <c r="AX15" s="41"/>
      <c r="BA15" s="39" t="s">
        <v>110</v>
      </c>
      <c r="BB15" s="41"/>
      <c r="BC15" s="41"/>
      <c r="BD15" s="41"/>
      <c r="BE15" s="41"/>
      <c r="BF15" s="41"/>
      <c r="BI15" s="39" t="s">
        <v>110</v>
      </c>
      <c r="BJ15" s="41"/>
      <c r="BK15" s="41"/>
      <c r="BL15" s="41"/>
      <c r="BM15" s="41"/>
      <c r="BN15" s="41"/>
      <c r="BQ15" s="39" t="s">
        <v>110</v>
      </c>
      <c r="BR15" s="41"/>
      <c r="BS15" s="41"/>
      <c r="BT15" s="41"/>
      <c r="BU15" s="41"/>
      <c r="BV15" s="41"/>
      <c r="BY15" s="39" t="s">
        <v>110</v>
      </c>
      <c r="BZ15" s="41"/>
      <c r="CA15" s="41"/>
      <c r="CB15" s="41"/>
      <c r="CC15" s="41"/>
      <c r="CD15" s="41"/>
    </row>
    <row r="16" spans="5:82" ht="12.9" thickBot="1" x14ac:dyDescent="0.35">
      <c r="E16" s="3"/>
      <c r="F16" s="3"/>
      <c r="G16" s="3"/>
      <c r="H16" s="3"/>
      <c r="I16" s="3"/>
      <c r="J16" s="2" t="s">
        <v>101</v>
      </c>
      <c r="K16" s="3"/>
      <c r="L16" s="1"/>
      <c r="M16" s="39" t="s">
        <v>111</v>
      </c>
      <c r="N16" s="41"/>
      <c r="O16" s="41"/>
      <c r="P16" s="41"/>
      <c r="Q16" s="41"/>
      <c r="R16" s="41"/>
      <c r="U16" s="39" t="s">
        <v>111</v>
      </c>
      <c r="V16" s="41"/>
      <c r="W16" s="41"/>
      <c r="X16" s="41"/>
      <c r="Y16" s="41"/>
      <c r="Z16" s="41"/>
      <c r="AC16" s="39" t="s">
        <v>111</v>
      </c>
      <c r="AD16" s="41"/>
      <c r="AE16" s="41"/>
      <c r="AF16" s="41"/>
      <c r="AG16" s="41"/>
      <c r="AH16" s="41"/>
      <c r="AK16" s="39" t="s">
        <v>111</v>
      </c>
      <c r="AL16" s="41"/>
      <c r="AM16" s="41"/>
      <c r="AN16" s="41"/>
      <c r="AO16" s="41"/>
      <c r="AP16" s="41"/>
      <c r="AQ16" s="1"/>
      <c r="AS16" s="39" t="s">
        <v>111</v>
      </c>
      <c r="AT16" s="41"/>
      <c r="AU16" s="41"/>
      <c r="AV16" s="41"/>
      <c r="AW16" s="41"/>
      <c r="AX16" s="41"/>
      <c r="BA16" s="39" t="s">
        <v>111</v>
      </c>
      <c r="BB16" s="41"/>
      <c r="BC16" s="41"/>
      <c r="BD16" s="41"/>
      <c r="BE16" s="41"/>
      <c r="BF16" s="41"/>
      <c r="BI16" s="39" t="s">
        <v>111</v>
      </c>
      <c r="BJ16" s="41"/>
      <c r="BK16" s="41"/>
      <c r="BL16" s="41"/>
      <c r="BM16" s="41"/>
      <c r="BN16" s="41"/>
      <c r="BQ16" s="39" t="s">
        <v>111</v>
      </c>
      <c r="BR16" s="41"/>
      <c r="BS16" s="41"/>
      <c r="BT16" s="41"/>
      <c r="BU16" s="41"/>
      <c r="BV16" s="41"/>
      <c r="BY16" s="39" t="s">
        <v>111</v>
      </c>
      <c r="BZ16" s="41"/>
      <c r="CA16" s="41"/>
      <c r="CB16" s="41"/>
      <c r="CC16" s="41"/>
      <c r="CD16" s="41"/>
    </row>
    <row r="17" spans="2:83" ht="12.9" thickBot="1" x14ac:dyDescent="0.35">
      <c r="E17" s="3"/>
      <c r="F17" s="3"/>
      <c r="G17" s="2" t="s">
        <v>101</v>
      </c>
      <c r="H17" s="3"/>
      <c r="I17" s="3"/>
      <c r="J17" s="3"/>
      <c r="K17" s="3"/>
      <c r="L17" s="1"/>
      <c r="M17" s="39" t="s">
        <v>112</v>
      </c>
      <c r="N17" s="41"/>
      <c r="O17" s="41"/>
      <c r="P17" s="41"/>
      <c r="Q17" s="41"/>
      <c r="R17" s="41"/>
      <c r="U17" s="39" t="s">
        <v>112</v>
      </c>
      <c r="V17" s="41"/>
      <c r="W17" s="41"/>
      <c r="X17" s="41"/>
      <c r="Y17" s="41"/>
      <c r="Z17" s="41"/>
      <c r="AC17" s="39" t="s">
        <v>112</v>
      </c>
      <c r="AD17" s="41"/>
      <c r="AE17" s="41"/>
      <c r="AF17" s="41"/>
      <c r="AG17" s="41"/>
      <c r="AH17" s="41"/>
      <c r="AK17" s="39" t="s">
        <v>112</v>
      </c>
      <c r="AL17" s="41"/>
      <c r="AM17" s="41"/>
      <c r="AN17" s="41"/>
      <c r="AO17" s="41"/>
      <c r="AP17" s="41"/>
      <c r="AQ17" s="1"/>
      <c r="AS17" s="39" t="s">
        <v>112</v>
      </c>
      <c r="AT17" s="41"/>
      <c r="AU17" s="41"/>
      <c r="AV17" s="41"/>
      <c r="AW17" s="41"/>
      <c r="AX17" s="41"/>
      <c r="BA17" s="39" t="s">
        <v>112</v>
      </c>
      <c r="BB17" s="41"/>
      <c r="BC17" s="41"/>
      <c r="BD17" s="41"/>
      <c r="BE17" s="41"/>
      <c r="BF17" s="41"/>
      <c r="BI17" s="39" t="s">
        <v>112</v>
      </c>
      <c r="BJ17" s="41"/>
      <c r="BK17" s="41"/>
      <c r="BL17" s="41"/>
      <c r="BM17" s="41"/>
      <c r="BN17" s="41"/>
      <c r="BQ17" s="39" t="s">
        <v>112</v>
      </c>
      <c r="BR17" s="41"/>
      <c r="BS17" s="41"/>
      <c r="BT17" s="41"/>
      <c r="BU17" s="41"/>
      <c r="BV17" s="41"/>
      <c r="BY17" s="39" t="s">
        <v>112</v>
      </c>
      <c r="BZ17" s="41"/>
      <c r="CA17" s="41"/>
      <c r="CB17" s="41"/>
      <c r="CC17" s="41"/>
      <c r="CD17" s="41"/>
    </row>
    <row r="18" spans="2:83" ht="12.9" thickBot="1" x14ac:dyDescent="0.35">
      <c r="E18" s="112"/>
      <c r="F18" s="112"/>
      <c r="G18" s="112"/>
      <c r="H18" s="112"/>
      <c r="I18" s="112"/>
      <c r="J18" s="112"/>
      <c r="K18" s="112"/>
      <c r="M18" s="111" t="s">
        <v>113</v>
      </c>
      <c r="N18" s="41"/>
      <c r="O18" s="41"/>
      <c r="P18" s="41"/>
      <c r="Q18" s="41"/>
      <c r="R18" s="41"/>
      <c r="U18" s="111" t="s">
        <v>113</v>
      </c>
      <c r="V18" s="41"/>
      <c r="W18" s="41"/>
      <c r="X18" s="41"/>
      <c r="Y18" s="41"/>
      <c r="Z18" s="41"/>
      <c r="AC18" s="111" t="s">
        <v>113</v>
      </c>
      <c r="AD18" s="41"/>
      <c r="AE18" s="41"/>
      <c r="AF18" s="41"/>
      <c r="AG18" s="41"/>
      <c r="AH18" s="41"/>
      <c r="AK18" s="111" t="s">
        <v>113</v>
      </c>
      <c r="AL18" s="41"/>
      <c r="AM18" s="41"/>
      <c r="AN18" s="41"/>
      <c r="AO18" s="41"/>
      <c r="AP18" s="41"/>
      <c r="AQ18" s="1"/>
      <c r="AS18" s="111" t="s">
        <v>113</v>
      </c>
      <c r="AT18" s="41"/>
      <c r="AU18" s="41"/>
      <c r="AV18" s="41"/>
      <c r="AW18" s="41"/>
      <c r="AX18" s="41"/>
      <c r="BA18" s="111" t="s">
        <v>113</v>
      </c>
      <c r="BB18" s="41"/>
      <c r="BC18" s="41"/>
      <c r="BD18" s="41"/>
      <c r="BE18" s="41"/>
      <c r="BF18" s="41"/>
      <c r="BI18" s="111" t="s">
        <v>113</v>
      </c>
      <c r="BJ18" s="41"/>
      <c r="BK18" s="41"/>
      <c r="BL18" s="41"/>
      <c r="BM18" s="41"/>
      <c r="BN18" s="41"/>
      <c r="BQ18" s="111" t="s">
        <v>113</v>
      </c>
      <c r="BR18" s="41"/>
      <c r="BS18" s="41"/>
      <c r="BT18" s="41"/>
      <c r="BU18" s="41"/>
      <c r="BV18" s="41"/>
      <c r="BY18" s="111" t="s">
        <v>113</v>
      </c>
      <c r="BZ18" s="41"/>
      <c r="CA18" s="41"/>
      <c r="CB18" s="41"/>
      <c r="CC18" s="41"/>
      <c r="CD18" s="41"/>
    </row>
    <row r="19" spans="2:83" ht="12.9" thickBot="1" x14ac:dyDescent="0.35">
      <c r="E19" s="3"/>
      <c r="F19" s="3"/>
      <c r="G19" s="3"/>
      <c r="H19" s="3"/>
      <c r="I19" s="3"/>
      <c r="J19" s="2" t="s">
        <v>101</v>
      </c>
      <c r="K19" s="3"/>
      <c r="M19" s="39" t="s">
        <v>114</v>
      </c>
      <c r="N19" s="41"/>
      <c r="O19" s="41"/>
      <c r="P19" s="41"/>
      <c r="Q19" s="41"/>
      <c r="R19" s="41"/>
      <c r="U19" s="39" t="s">
        <v>114</v>
      </c>
      <c r="V19" s="41"/>
      <c r="W19" s="41"/>
      <c r="X19" s="41"/>
      <c r="Y19" s="41"/>
      <c r="Z19" s="41"/>
      <c r="AC19" s="39" t="s">
        <v>114</v>
      </c>
      <c r="AD19" s="41"/>
      <c r="AE19" s="41"/>
      <c r="AF19" s="41"/>
      <c r="AG19" s="41"/>
      <c r="AH19" s="41"/>
      <c r="AK19" s="39" t="s">
        <v>114</v>
      </c>
      <c r="AL19" s="41"/>
      <c r="AM19" s="41"/>
      <c r="AN19" s="41"/>
      <c r="AO19" s="41"/>
      <c r="AP19" s="41"/>
      <c r="AQ19" s="1"/>
      <c r="AS19" s="39" t="s">
        <v>114</v>
      </c>
      <c r="AT19" s="41"/>
      <c r="AU19" s="41"/>
      <c r="AV19" s="41"/>
      <c r="AW19" s="41"/>
      <c r="AX19" s="41"/>
      <c r="BA19" s="39" t="s">
        <v>114</v>
      </c>
      <c r="BB19" s="41"/>
      <c r="BC19" s="41"/>
      <c r="BD19" s="41"/>
      <c r="BE19" s="41"/>
      <c r="BF19" s="41"/>
      <c r="BI19" s="39" t="s">
        <v>114</v>
      </c>
      <c r="BJ19" s="41"/>
      <c r="BK19" s="41"/>
      <c r="BL19" s="41"/>
      <c r="BM19" s="41"/>
      <c r="BN19" s="41"/>
      <c r="BQ19" s="39" t="s">
        <v>114</v>
      </c>
      <c r="BR19" s="41"/>
      <c r="BS19" s="41"/>
      <c r="BT19" s="41"/>
      <c r="BU19" s="41"/>
      <c r="BV19" s="41"/>
      <c r="BY19" s="39" t="s">
        <v>114</v>
      </c>
      <c r="BZ19" s="41"/>
      <c r="CA19" s="41"/>
      <c r="CB19" s="41"/>
      <c r="CC19" s="41"/>
      <c r="CD19" s="41"/>
    </row>
    <row r="20" spans="2:83" ht="12.9" thickBot="1" x14ac:dyDescent="0.35">
      <c r="E20" s="112"/>
      <c r="F20" s="112"/>
      <c r="G20" s="112"/>
      <c r="H20" s="112"/>
      <c r="I20" s="112"/>
      <c r="J20" s="112"/>
      <c r="K20" s="112"/>
      <c r="M20" s="111" t="s">
        <v>115</v>
      </c>
      <c r="N20" s="41"/>
      <c r="O20" s="41"/>
      <c r="P20" s="41"/>
      <c r="Q20" s="41"/>
      <c r="R20" s="41"/>
      <c r="U20" s="111" t="s">
        <v>115</v>
      </c>
      <c r="V20" s="41"/>
      <c r="W20" s="41"/>
      <c r="X20" s="41"/>
      <c r="Y20" s="41"/>
      <c r="Z20" s="41"/>
      <c r="AC20" s="111" t="s">
        <v>115</v>
      </c>
      <c r="AD20" s="41"/>
      <c r="AE20" s="41"/>
      <c r="AF20" s="41"/>
      <c r="AG20" s="41"/>
      <c r="AH20" s="41"/>
      <c r="AK20" s="111" t="s">
        <v>115</v>
      </c>
      <c r="AL20" s="41"/>
      <c r="AM20" s="41"/>
      <c r="AN20" s="41"/>
      <c r="AO20" s="41"/>
      <c r="AP20" s="41"/>
      <c r="AQ20" s="1"/>
      <c r="AS20" s="111" t="s">
        <v>115</v>
      </c>
      <c r="AT20" s="41"/>
      <c r="AU20" s="41"/>
      <c r="AV20" s="41"/>
      <c r="AW20" s="41"/>
      <c r="AX20" s="41"/>
      <c r="BA20" s="111" t="s">
        <v>115</v>
      </c>
      <c r="BB20" s="41"/>
      <c r="BC20" s="41"/>
      <c r="BD20" s="41"/>
      <c r="BE20" s="41"/>
      <c r="BF20" s="41"/>
      <c r="BI20" s="111" t="s">
        <v>115</v>
      </c>
      <c r="BJ20" s="41"/>
      <c r="BK20" s="41"/>
      <c r="BL20" s="41"/>
      <c r="BM20" s="41"/>
      <c r="BN20" s="41"/>
      <c r="BQ20" s="111" t="s">
        <v>115</v>
      </c>
      <c r="BR20" s="41"/>
      <c r="BS20" s="41"/>
      <c r="BT20" s="41"/>
      <c r="BU20" s="41"/>
      <c r="BV20" s="41"/>
      <c r="BY20" s="111" t="s">
        <v>115</v>
      </c>
      <c r="BZ20" s="41"/>
      <c r="CA20" s="41"/>
      <c r="CB20" s="41"/>
      <c r="CC20" s="41"/>
      <c r="CD20" s="41"/>
    </row>
    <row r="21" spans="2:83" ht="12.9" thickBot="1" x14ac:dyDescent="0.35">
      <c r="M21" s="111" t="s">
        <v>116</v>
      </c>
      <c r="N21" s="41"/>
      <c r="O21" s="41"/>
      <c r="P21" s="41"/>
      <c r="Q21" s="41"/>
      <c r="R21" s="41"/>
      <c r="U21" s="111" t="s">
        <v>116</v>
      </c>
      <c r="V21" s="41"/>
      <c r="W21" s="41"/>
      <c r="X21" s="41"/>
      <c r="Y21" s="41"/>
      <c r="Z21" s="41"/>
      <c r="AC21" s="111" t="s">
        <v>116</v>
      </c>
      <c r="AD21" s="41"/>
      <c r="AE21" s="41"/>
      <c r="AF21" s="41"/>
      <c r="AG21" s="41"/>
      <c r="AH21" s="41"/>
      <c r="AK21" s="111" t="s">
        <v>116</v>
      </c>
      <c r="AL21" s="41"/>
      <c r="AM21" s="41"/>
      <c r="AN21" s="41"/>
      <c r="AO21" s="41"/>
      <c r="AP21" s="41"/>
      <c r="AQ21" s="1"/>
      <c r="AS21" s="111" t="s">
        <v>116</v>
      </c>
      <c r="AT21" s="41"/>
      <c r="AU21" s="41"/>
      <c r="AV21" s="41"/>
      <c r="AW21" s="41"/>
      <c r="AX21" s="41"/>
      <c r="BA21" s="111" t="s">
        <v>116</v>
      </c>
      <c r="BB21" s="41"/>
      <c r="BC21" s="41"/>
      <c r="BD21" s="41"/>
      <c r="BE21" s="41"/>
      <c r="BF21" s="41"/>
      <c r="BI21" s="111" t="s">
        <v>116</v>
      </c>
      <c r="BJ21" s="41"/>
      <c r="BK21" s="41"/>
      <c r="BL21" s="41"/>
      <c r="BM21" s="41"/>
      <c r="BN21" s="41"/>
      <c r="BQ21" s="111" t="s">
        <v>116</v>
      </c>
      <c r="BR21" s="41"/>
      <c r="BS21" s="41"/>
      <c r="BT21" s="41"/>
      <c r="BU21" s="41"/>
      <c r="BV21" s="41"/>
      <c r="BY21" s="111" t="s">
        <v>116</v>
      </c>
      <c r="BZ21" s="41"/>
      <c r="CA21" s="41"/>
      <c r="CB21" s="41"/>
      <c r="CC21" s="41"/>
      <c r="CD21" s="41"/>
    </row>
    <row r="22" spans="2:83" x14ac:dyDescent="0.3">
      <c r="M22" s="65"/>
      <c r="N22" s="66"/>
      <c r="O22" s="66"/>
      <c r="P22" s="66"/>
      <c r="Q22" s="66"/>
      <c r="R22" s="66"/>
      <c r="S22" s="66"/>
      <c r="U22" s="65"/>
      <c r="V22" s="66"/>
      <c r="W22" s="66"/>
      <c r="X22" s="66"/>
      <c r="Y22" s="66"/>
      <c r="Z22" s="66"/>
      <c r="AA22" s="66"/>
      <c r="AC22" s="65"/>
      <c r="AD22" s="66"/>
      <c r="AE22" s="66"/>
      <c r="AF22" s="66"/>
      <c r="AG22" s="66"/>
      <c r="AH22" s="66"/>
      <c r="AI22" s="66"/>
      <c r="AK22" s="65"/>
      <c r="AL22" s="66"/>
      <c r="AM22" s="66"/>
      <c r="AN22" s="66"/>
      <c r="AO22" s="66"/>
      <c r="AP22" s="66"/>
      <c r="AQ22" s="66"/>
      <c r="AS22" s="65"/>
      <c r="AT22" s="66"/>
      <c r="AU22" s="66"/>
      <c r="AV22" s="66"/>
      <c r="AW22" s="66"/>
      <c r="AX22" s="66"/>
      <c r="AY22" s="66"/>
      <c r="BA22" s="65"/>
      <c r="BB22" s="66"/>
      <c r="BC22" s="66"/>
      <c r="BD22" s="66"/>
      <c r="BE22" s="66"/>
      <c r="BF22" s="66"/>
      <c r="BG22" s="66"/>
      <c r="BI22" s="65"/>
      <c r="BJ22" s="66"/>
      <c r="BK22" s="66"/>
      <c r="BL22" s="66"/>
      <c r="BM22" s="66"/>
      <c r="BN22" s="66"/>
      <c r="BO22" s="66"/>
      <c r="BQ22" s="65"/>
      <c r="BR22" s="66"/>
      <c r="BS22" s="66"/>
      <c r="BT22" s="66"/>
      <c r="BU22" s="66"/>
      <c r="BV22" s="66"/>
      <c r="BW22" s="66"/>
      <c r="BY22" s="65"/>
      <c r="BZ22" s="66"/>
      <c r="CA22" s="66"/>
      <c r="CB22" s="66"/>
      <c r="CC22" s="66"/>
      <c r="CD22" s="66"/>
      <c r="CE22" s="66"/>
    </row>
    <row r="23" spans="2:83" x14ac:dyDescent="0.3">
      <c r="B23" s="14"/>
      <c r="C23" s="14"/>
      <c r="D23" s="14"/>
      <c r="E23" s="14"/>
      <c r="F23" s="14"/>
      <c r="G23" s="14"/>
      <c r="H23" s="14"/>
      <c r="I23" s="14"/>
      <c r="J23" s="14"/>
      <c r="K23" s="14"/>
      <c r="L23" s="14"/>
      <c r="M23" s="67"/>
      <c r="N23" s="68"/>
      <c r="O23" s="68"/>
      <c r="P23" s="68"/>
      <c r="Q23" s="68"/>
      <c r="R23" s="68"/>
      <c r="S23" s="68"/>
      <c r="T23" s="14"/>
      <c r="U23" s="67"/>
      <c r="V23" s="68"/>
      <c r="W23" s="68"/>
      <c r="X23" s="68"/>
      <c r="Y23" s="68"/>
      <c r="Z23" s="68"/>
      <c r="AA23" s="68"/>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row>
    <row r="24" spans="2:83" x14ac:dyDescent="0.3">
      <c r="B24" s="83" t="s">
        <v>15</v>
      </c>
      <c r="C24" s="1">
        <v>0</v>
      </c>
      <c r="D24" s="1">
        <v>1</v>
      </c>
      <c r="E24" s="1">
        <v>2</v>
      </c>
      <c r="F24" s="1">
        <v>3</v>
      </c>
      <c r="G24" s="1">
        <v>4</v>
      </c>
      <c r="H24" s="1">
        <v>5</v>
      </c>
      <c r="I24" s="1">
        <v>6</v>
      </c>
      <c r="J24" s="1">
        <v>7</v>
      </c>
      <c r="K24" s="1">
        <v>8</v>
      </c>
    </row>
    <row r="25" spans="2:83" s="22" customFormat="1" ht="24.9" x14ac:dyDescent="0.3">
      <c r="C25" s="84" t="str">
        <f>'T3D-Report Tables'!L2</f>
        <v>Baseline</v>
      </c>
      <c r="D25" s="11" t="str">
        <f>'T3D-Report Tables'!M2</f>
        <v>Proposed: 1</v>
      </c>
      <c r="E25" s="11" t="str">
        <f>'T3D-Report Tables'!N2</f>
        <v>Proposed: 2</v>
      </c>
      <c r="F25" s="11" t="str">
        <f>'T3D-Report Tables'!O2</f>
        <v>Proposed: 3</v>
      </c>
      <c r="G25" s="11" t="str">
        <f>'T3D-Report Tables'!P2</f>
        <v>Proposed: 4</v>
      </c>
      <c r="H25" s="11" t="str">
        <f>'T3D-Report Tables'!Q2</f>
        <v>Proposed: 5</v>
      </c>
      <c r="I25" s="11" t="str">
        <f>'T3D-Report Tables'!R2</f>
        <v>Proposed: 6</v>
      </c>
      <c r="J25" s="11" t="str">
        <f>'T3D-Report Tables'!S2</f>
        <v>Proposed: 7</v>
      </c>
      <c r="K25" s="11" t="str">
        <f>'T3D-Report Tables'!T2</f>
        <v>Proposed: 8</v>
      </c>
      <c r="N25" s="21" t="s">
        <v>76</v>
      </c>
      <c r="O25" s="21" t="s">
        <v>79</v>
      </c>
      <c r="P25" s="21" t="s">
        <v>82</v>
      </c>
      <c r="Q25" s="21" t="s">
        <v>81</v>
      </c>
      <c r="R25" s="21" t="s">
        <v>83</v>
      </c>
      <c r="S25" s="82" t="s">
        <v>2</v>
      </c>
      <c r="V25" s="21" t="s">
        <v>76</v>
      </c>
      <c r="W25" s="21" t="s">
        <v>79</v>
      </c>
      <c r="X25" s="21" t="s">
        <v>82</v>
      </c>
      <c r="Y25" s="21" t="s">
        <v>81</v>
      </c>
      <c r="Z25" s="21" t="s">
        <v>83</v>
      </c>
      <c r="AA25" s="82" t="s">
        <v>2</v>
      </c>
      <c r="AD25" s="21" t="s">
        <v>76</v>
      </c>
      <c r="AE25" s="21" t="s">
        <v>79</v>
      </c>
      <c r="AF25" s="21" t="s">
        <v>82</v>
      </c>
      <c r="AG25" s="21" t="s">
        <v>81</v>
      </c>
      <c r="AH25" s="21" t="s">
        <v>83</v>
      </c>
      <c r="AI25" s="82" t="s">
        <v>2</v>
      </c>
      <c r="AL25" s="21" t="s">
        <v>76</v>
      </c>
      <c r="AM25" s="21" t="s">
        <v>79</v>
      </c>
      <c r="AN25" s="21" t="s">
        <v>82</v>
      </c>
      <c r="AO25" s="21" t="s">
        <v>81</v>
      </c>
      <c r="AP25" s="21" t="s">
        <v>83</v>
      </c>
      <c r="AQ25" s="82" t="s">
        <v>2</v>
      </c>
      <c r="AT25" s="21" t="s">
        <v>76</v>
      </c>
      <c r="AU25" s="21" t="s">
        <v>79</v>
      </c>
      <c r="AV25" s="21" t="s">
        <v>82</v>
      </c>
      <c r="AW25" s="21" t="s">
        <v>81</v>
      </c>
      <c r="AX25" s="21" t="s">
        <v>83</v>
      </c>
      <c r="AY25" s="82" t="s">
        <v>2</v>
      </c>
      <c r="BB25" s="21" t="s">
        <v>76</v>
      </c>
      <c r="BC25" s="21" t="s">
        <v>79</v>
      </c>
      <c r="BD25" s="21" t="s">
        <v>82</v>
      </c>
      <c r="BE25" s="21" t="s">
        <v>81</v>
      </c>
      <c r="BF25" s="21" t="s">
        <v>83</v>
      </c>
      <c r="BG25" s="82" t="s">
        <v>2</v>
      </c>
      <c r="BJ25" s="21" t="s">
        <v>76</v>
      </c>
      <c r="BK25" s="21" t="s">
        <v>79</v>
      </c>
      <c r="BL25" s="21" t="s">
        <v>82</v>
      </c>
      <c r="BM25" s="21" t="s">
        <v>81</v>
      </c>
      <c r="BN25" s="21" t="s">
        <v>83</v>
      </c>
      <c r="BO25" s="82" t="s">
        <v>2</v>
      </c>
      <c r="BR25" s="21" t="s">
        <v>76</v>
      </c>
      <c r="BS25" s="21" t="s">
        <v>79</v>
      </c>
      <c r="BT25" s="21" t="s">
        <v>82</v>
      </c>
      <c r="BU25" s="21" t="s">
        <v>81</v>
      </c>
      <c r="BV25" s="21" t="s">
        <v>83</v>
      </c>
      <c r="BW25" s="82" t="s">
        <v>2</v>
      </c>
      <c r="BZ25" s="21" t="s">
        <v>76</v>
      </c>
      <c r="CA25" s="21" t="s">
        <v>79</v>
      </c>
      <c r="CB25" s="21" t="s">
        <v>82</v>
      </c>
      <c r="CC25" s="21" t="s">
        <v>81</v>
      </c>
      <c r="CD25" s="21" t="s">
        <v>83</v>
      </c>
      <c r="CE25" s="82" t="s">
        <v>2</v>
      </c>
    </row>
    <row r="26" spans="2:83" x14ac:dyDescent="0.3">
      <c r="B26" s="21" t="s">
        <v>89</v>
      </c>
      <c r="C26" s="69">
        <f ca="1">OFFSET($M26,0,(6+8*C$24))</f>
        <v>0</v>
      </c>
      <c r="D26" s="69">
        <f t="shared" ref="C26:K33" ca="1" si="0">OFFSET($M26,0,(6+8*D$24))</f>
        <v>0</v>
      </c>
      <c r="E26" s="69">
        <f t="shared" ca="1" si="0"/>
        <v>0</v>
      </c>
      <c r="F26" s="69">
        <f t="shared" ca="1" si="0"/>
        <v>0</v>
      </c>
      <c r="G26" s="69">
        <f t="shared" ca="1" si="0"/>
        <v>0</v>
      </c>
      <c r="H26" s="69">
        <f t="shared" ca="1" si="0"/>
        <v>0</v>
      </c>
      <c r="I26" s="69">
        <f t="shared" ca="1" si="0"/>
        <v>0</v>
      </c>
      <c r="J26" s="69">
        <f t="shared" ca="1" si="0"/>
        <v>0</v>
      </c>
      <c r="K26" s="69">
        <f t="shared" ca="1" si="0"/>
        <v>0</v>
      </c>
      <c r="M26" s="21" t="s">
        <v>89</v>
      </c>
      <c r="N26" s="16">
        <f>SUMIFS(N4:N20,$E$4:$E$20,"x")*3.415</f>
        <v>0</v>
      </c>
      <c r="O26" s="16">
        <f>SUMIFS(O4:O20,$E$4:$E$20,"x")*1000</f>
        <v>0</v>
      </c>
      <c r="P26" s="16">
        <f t="shared" ref="P26:R26" si="1">SUMIFS(P4:P20,$E$4:$E$20,"x")*1000</f>
        <v>0</v>
      </c>
      <c r="Q26" s="16">
        <f t="shared" si="1"/>
        <v>0</v>
      </c>
      <c r="R26" s="16">
        <f t="shared" si="1"/>
        <v>0</v>
      </c>
      <c r="S26" s="71">
        <f>SUM(N26:R26)/'T3D-Report Tables'!$D$17</f>
        <v>0</v>
      </c>
      <c r="U26" s="21" t="s">
        <v>89</v>
      </c>
      <c r="V26" s="16">
        <f>SUMIFS(V4:V20,$E$4:$E$20,"x")*3.415</f>
        <v>0</v>
      </c>
      <c r="W26" s="16">
        <f>SUMIFS(W4:W20,$E$4:$E$20,"x")*1000</f>
        <v>0</v>
      </c>
      <c r="X26" s="16">
        <f t="shared" ref="X26:Z26" si="2">SUMIFS(X4:X20,$E$4:$E$20,"x")*1000</f>
        <v>0</v>
      </c>
      <c r="Y26" s="16">
        <f t="shared" si="2"/>
        <v>0</v>
      </c>
      <c r="Z26" s="16">
        <f t="shared" si="2"/>
        <v>0</v>
      </c>
      <c r="AA26" s="71">
        <f>SUM(V26:Z26)/'T3D-Report Tables'!$D$17</f>
        <v>0</v>
      </c>
      <c r="AC26" s="21" t="s">
        <v>89</v>
      </c>
      <c r="AD26" s="16">
        <f>SUMIFS(AD4:AD20,$E$4:$E$20,"x")*3.415</f>
        <v>0</v>
      </c>
      <c r="AE26" s="16">
        <f>SUMIFS(AE4:AE20,$E$4:$E$20,"x")*1000</f>
        <v>0</v>
      </c>
      <c r="AF26" s="16">
        <f t="shared" ref="AF26:AH26" si="3">SUMIFS(AF4:AF20,$E$4:$E$20,"x")*1000</f>
        <v>0</v>
      </c>
      <c r="AG26" s="16">
        <f t="shared" si="3"/>
        <v>0</v>
      </c>
      <c r="AH26" s="16">
        <f t="shared" si="3"/>
        <v>0</v>
      </c>
      <c r="AI26" s="71">
        <f>SUM(AD26:AH26)/'T3D-Report Tables'!$D$17</f>
        <v>0</v>
      </c>
      <c r="AK26" s="21" t="s">
        <v>89</v>
      </c>
      <c r="AL26" s="16">
        <f>SUMIFS(AL4:AL20,$E$4:$E$20,"x")*3.415</f>
        <v>0</v>
      </c>
      <c r="AM26" s="16">
        <f>SUMIFS(AM4:AM20,$E$4:$E$20,"x")*1000</f>
        <v>0</v>
      </c>
      <c r="AN26" s="16">
        <f t="shared" ref="AN26:AP26" si="4">SUMIFS(AN4:AN20,$E$4:$E$20,"x")*1000</f>
        <v>0</v>
      </c>
      <c r="AO26" s="16">
        <f t="shared" si="4"/>
        <v>0</v>
      </c>
      <c r="AP26" s="16">
        <f t="shared" si="4"/>
        <v>0</v>
      </c>
      <c r="AQ26" s="71">
        <f>SUM(AL26:AP26)/'T3D-Report Tables'!$D$17</f>
        <v>0</v>
      </c>
      <c r="AS26" s="21" t="s">
        <v>89</v>
      </c>
      <c r="AT26" s="16">
        <f>SUMIFS(AT4:AT20,$E$4:$E$20,"x")*3.415</f>
        <v>0</v>
      </c>
      <c r="AU26" s="16">
        <f>SUMIFS(AU4:AU20,$E$4:$E$20,"x")*1000</f>
        <v>0</v>
      </c>
      <c r="AV26" s="16">
        <f t="shared" ref="AV26:AX26" si="5">SUMIFS(AV4:AV20,$E$4:$E$20,"x")*1000</f>
        <v>0</v>
      </c>
      <c r="AW26" s="16">
        <f t="shared" si="5"/>
        <v>0</v>
      </c>
      <c r="AX26" s="16">
        <f t="shared" si="5"/>
        <v>0</v>
      </c>
      <c r="AY26" s="71">
        <f>SUM(AT26:AX26)/'T3D-Report Tables'!$D$17</f>
        <v>0</v>
      </c>
      <c r="BA26" s="21" t="s">
        <v>89</v>
      </c>
      <c r="BB26" s="16">
        <f>SUMIFS(BB4:BB20,$E$4:$E$20,"x")*3.415</f>
        <v>0</v>
      </c>
      <c r="BC26" s="16">
        <f>SUMIFS(BC4:BC20,$E$4:$E$20,"x")*1000</f>
        <v>0</v>
      </c>
      <c r="BD26" s="16">
        <f t="shared" ref="BD26:BF26" si="6">SUMIFS(BD4:BD20,$E$4:$E$20,"x")*1000</f>
        <v>0</v>
      </c>
      <c r="BE26" s="16">
        <f t="shared" si="6"/>
        <v>0</v>
      </c>
      <c r="BF26" s="16">
        <f t="shared" si="6"/>
        <v>0</v>
      </c>
      <c r="BG26" s="71">
        <f>SUM(BB26:BF26)/'T3D-Report Tables'!$D$17</f>
        <v>0</v>
      </c>
      <c r="BI26" s="21" t="s">
        <v>89</v>
      </c>
      <c r="BJ26" s="16">
        <f>SUMIFS(BJ4:BJ20,$E$4:$E$20,"x")*3.415</f>
        <v>0</v>
      </c>
      <c r="BK26" s="16">
        <f>SUMIFS(BK4:BK20,$E$4:$E$20,"x")*1000</f>
        <v>0</v>
      </c>
      <c r="BL26" s="16">
        <f t="shared" ref="BL26:BN26" si="7">SUMIFS(BL4:BL20,$E$4:$E$20,"x")*1000</f>
        <v>0</v>
      </c>
      <c r="BM26" s="16">
        <f t="shared" si="7"/>
        <v>0</v>
      </c>
      <c r="BN26" s="16">
        <f t="shared" si="7"/>
        <v>0</v>
      </c>
      <c r="BO26" s="71">
        <f>SUM(BJ26:BN26)/'T3D-Report Tables'!$D$17</f>
        <v>0</v>
      </c>
      <c r="BQ26" s="21" t="s">
        <v>89</v>
      </c>
      <c r="BR26" s="16">
        <f>SUMIFS(BR4:BR20,$E$4:$E$20,"x")*3.415</f>
        <v>0</v>
      </c>
      <c r="BS26" s="16">
        <f>SUMIFS(BS4:BS20,$E$4:$E$20,"x")*1000</f>
        <v>0</v>
      </c>
      <c r="BT26" s="16">
        <f t="shared" ref="BT26:BV26" si="8">SUMIFS(BT4:BT20,$E$4:$E$20,"x")*1000</f>
        <v>0</v>
      </c>
      <c r="BU26" s="16">
        <f t="shared" si="8"/>
        <v>0</v>
      </c>
      <c r="BV26" s="16">
        <f t="shared" si="8"/>
        <v>0</v>
      </c>
      <c r="BW26" s="71">
        <f>SUM(BR26:BV26)/'T3D-Report Tables'!$D$17</f>
        <v>0</v>
      </c>
      <c r="BY26" s="21" t="s">
        <v>89</v>
      </c>
      <c r="BZ26" s="16">
        <f>SUMIFS(BZ4:BZ20,$E$4:$E$20,"x")*3.415</f>
        <v>0</v>
      </c>
      <c r="CA26" s="16">
        <f>SUMIFS(CA4:CA20,$E$4:$E$20,"x")*1000</f>
        <v>0</v>
      </c>
      <c r="CB26" s="16">
        <f t="shared" ref="CB26:CD26" si="9">SUMIFS(CB4:CB20,$E$4:$E$20,"x")*1000</f>
        <v>0</v>
      </c>
      <c r="CC26" s="16">
        <f t="shared" si="9"/>
        <v>0</v>
      </c>
      <c r="CD26" s="16">
        <f t="shared" si="9"/>
        <v>0</v>
      </c>
      <c r="CE26" s="71">
        <f>SUM(BZ26:CD26)/'T3D-Report Tables'!$D$17</f>
        <v>0</v>
      </c>
    </row>
    <row r="27" spans="2:83" x14ac:dyDescent="0.3">
      <c r="B27" s="21" t="s">
        <v>90</v>
      </c>
      <c r="C27" s="69">
        <f t="shared" ca="1" si="0"/>
        <v>0</v>
      </c>
      <c r="D27" s="69">
        <f t="shared" ca="1" si="0"/>
        <v>0</v>
      </c>
      <c r="E27" s="69">
        <f t="shared" ca="1" si="0"/>
        <v>0</v>
      </c>
      <c r="F27" s="69">
        <f t="shared" ca="1" si="0"/>
        <v>0</v>
      </c>
      <c r="G27" s="69">
        <f t="shared" ca="1" si="0"/>
        <v>0</v>
      </c>
      <c r="H27" s="69">
        <f t="shared" ca="1" si="0"/>
        <v>0</v>
      </c>
      <c r="I27" s="69">
        <f t="shared" ca="1" si="0"/>
        <v>0</v>
      </c>
      <c r="J27" s="69">
        <f t="shared" ca="1" si="0"/>
        <v>0</v>
      </c>
      <c r="K27" s="69">
        <f t="shared" ca="1" si="0"/>
        <v>0</v>
      </c>
      <c r="M27" s="21" t="s">
        <v>90</v>
      </c>
      <c r="N27" s="16">
        <f>SUMIFS(N4:N20,$F$4:$F$20,"x")*3.415</f>
        <v>0</v>
      </c>
      <c r="O27" s="16">
        <f>SUMIFS(O4:O20,$F$4:$F$20,"x")*1000</f>
        <v>0</v>
      </c>
      <c r="P27" s="16">
        <f t="shared" ref="P27:Q27" si="10">SUMIFS(P4:P20,$F$4:$F$20,"x")*1000</f>
        <v>0</v>
      </c>
      <c r="Q27" s="16">
        <f t="shared" si="10"/>
        <v>0</v>
      </c>
      <c r="R27" s="16">
        <f>SUMIFS(R4:R20,$F$4:$F$20,"x")*1000</f>
        <v>0</v>
      </c>
      <c r="S27" s="71">
        <f>SUM(N27:R27)/'T3D-Report Tables'!$D$17</f>
        <v>0</v>
      </c>
      <c r="U27" s="21" t="s">
        <v>90</v>
      </c>
      <c r="V27" s="16">
        <f>SUMIFS(V4:V20,$F$4:$F$20,"x")*3.415</f>
        <v>0</v>
      </c>
      <c r="W27" s="16">
        <f>SUMIFS(W4:W20,$F$4:$F$20,"x")*1000</f>
        <v>0</v>
      </c>
      <c r="X27" s="16">
        <f t="shared" ref="X27:Y27" si="11">SUMIFS(X4:X20,$F$4:$F$20,"x")*1000</f>
        <v>0</v>
      </c>
      <c r="Y27" s="16">
        <f t="shared" si="11"/>
        <v>0</v>
      </c>
      <c r="Z27" s="16">
        <f>SUMIFS(Z4:Z20,$F$4:$F$20,"x")*1000</f>
        <v>0</v>
      </c>
      <c r="AA27" s="71">
        <f>SUM(V27:Z27)/'T3D-Report Tables'!$D$17</f>
        <v>0</v>
      </c>
      <c r="AC27" s="21" t="s">
        <v>90</v>
      </c>
      <c r="AD27" s="16">
        <f>SUMIFS(AD4:AD20,$F$4:$F$20,"x")*3.415</f>
        <v>0</v>
      </c>
      <c r="AE27" s="16">
        <f>SUMIFS(AE4:AE20,$F$4:$F$20,"x")*1000</f>
        <v>0</v>
      </c>
      <c r="AF27" s="16">
        <f t="shared" ref="AF27:AG27" si="12">SUMIFS(AF4:AF20,$F$4:$F$20,"x")*1000</f>
        <v>0</v>
      </c>
      <c r="AG27" s="16">
        <f t="shared" si="12"/>
        <v>0</v>
      </c>
      <c r="AH27" s="16">
        <f>SUMIFS(AH4:AH20,$F$4:$F$20,"x")*1000</f>
        <v>0</v>
      </c>
      <c r="AI27" s="71">
        <f>SUM(AD27:AH27)/'T3D-Report Tables'!$D$17</f>
        <v>0</v>
      </c>
      <c r="AK27" s="21" t="s">
        <v>90</v>
      </c>
      <c r="AL27" s="16">
        <f>SUMIFS(AL4:AL20,$F$4:$F$20,"x")*3.415</f>
        <v>0</v>
      </c>
      <c r="AM27" s="16">
        <f>SUMIFS(AM4:AM20,$F$4:$F$20,"x")*1000</f>
        <v>0</v>
      </c>
      <c r="AN27" s="16">
        <f t="shared" ref="AN27:AO27" si="13">SUMIFS(AN4:AN20,$F$4:$F$20,"x")*1000</f>
        <v>0</v>
      </c>
      <c r="AO27" s="16">
        <f t="shared" si="13"/>
        <v>0</v>
      </c>
      <c r="AP27" s="16">
        <f>SUMIFS(AP4:AP20,$F$4:$F$20,"x")*1000</f>
        <v>0</v>
      </c>
      <c r="AQ27" s="71">
        <f>SUM(AL27:AP27)/'T3D-Report Tables'!$D$17</f>
        <v>0</v>
      </c>
      <c r="AS27" s="21" t="s">
        <v>90</v>
      </c>
      <c r="AT27" s="16">
        <f>SUMIFS(AT4:AT20,$F$4:$F$20,"x")*3.415</f>
        <v>0</v>
      </c>
      <c r="AU27" s="16">
        <f>SUMIFS(AU4:AU20,$F$4:$F$20,"x")*1000</f>
        <v>0</v>
      </c>
      <c r="AV27" s="16">
        <f t="shared" ref="AV27:AW27" si="14">SUMIFS(AV4:AV20,$F$4:$F$20,"x")*1000</f>
        <v>0</v>
      </c>
      <c r="AW27" s="16">
        <f t="shared" si="14"/>
        <v>0</v>
      </c>
      <c r="AX27" s="16">
        <f>SUMIFS(AX4:AX20,$F$4:$F$20,"x")*1000</f>
        <v>0</v>
      </c>
      <c r="AY27" s="71">
        <f>SUM(AT27:AX27)/'T3D-Report Tables'!$D$17</f>
        <v>0</v>
      </c>
      <c r="BA27" s="21" t="s">
        <v>90</v>
      </c>
      <c r="BB27" s="16">
        <f>SUMIFS(BB4:BB20,$F$4:$F$20,"x")*3.415</f>
        <v>0</v>
      </c>
      <c r="BC27" s="16">
        <f>SUMIFS(BC4:BC20,$F$4:$F$20,"x")*1000</f>
        <v>0</v>
      </c>
      <c r="BD27" s="16">
        <f t="shared" ref="BD27:BE27" si="15">SUMIFS(BD4:BD20,$F$4:$F$20,"x")*1000</f>
        <v>0</v>
      </c>
      <c r="BE27" s="16">
        <f t="shared" si="15"/>
        <v>0</v>
      </c>
      <c r="BF27" s="16">
        <f>SUMIFS(BF4:BF20,$F$4:$F$20,"x")*1000</f>
        <v>0</v>
      </c>
      <c r="BG27" s="71">
        <f>SUM(BB27:BF27)/'T3D-Report Tables'!$D$17</f>
        <v>0</v>
      </c>
      <c r="BI27" s="21" t="s">
        <v>90</v>
      </c>
      <c r="BJ27" s="16">
        <f>SUMIFS(BJ4:BJ20,$F$4:$F$20,"x")*3.415</f>
        <v>0</v>
      </c>
      <c r="BK27" s="16">
        <f>SUMIFS(BK4:BK20,$F$4:$F$20,"x")*1000</f>
        <v>0</v>
      </c>
      <c r="BL27" s="16">
        <f t="shared" ref="BL27:BM27" si="16">SUMIFS(BL4:BL20,$F$4:$F$20,"x")*1000</f>
        <v>0</v>
      </c>
      <c r="BM27" s="16">
        <f t="shared" si="16"/>
        <v>0</v>
      </c>
      <c r="BN27" s="16">
        <f>SUMIFS(BN4:BN20,$F$4:$F$20,"x")*1000</f>
        <v>0</v>
      </c>
      <c r="BO27" s="71">
        <f>SUM(BJ27:BN27)/'T3D-Report Tables'!$D$17</f>
        <v>0</v>
      </c>
      <c r="BQ27" s="21" t="s">
        <v>90</v>
      </c>
      <c r="BR27" s="16">
        <f>SUMIFS(BR4:BR20,$F$4:$F$20,"x")*3.415</f>
        <v>0</v>
      </c>
      <c r="BS27" s="16">
        <f>SUMIFS(BS4:BS20,$F$4:$F$20,"x")*1000</f>
        <v>0</v>
      </c>
      <c r="BT27" s="16">
        <f t="shared" ref="BT27:BU27" si="17">SUMIFS(BT4:BT20,$F$4:$F$20,"x")*1000</f>
        <v>0</v>
      </c>
      <c r="BU27" s="16">
        <f t="shared" si="17"/>
        <v>0</v>
      </c>
      <c r="BV27" s="16">
        <f>SUMIFS(BV4:BV20,$F$4:$F$20,"x")*1000</f>
        <v>0</v>
      </c>
      <c r="BW27" s="71">
        <f>SUM(BR27:BV27)/'T3D-Report Tables'!$D$17</f>
        <v>0</v>
      </c>
      <c r="BY27" s="21" t="s">
        <v>90</v>
      </c>
      <c r="BZ27" s="16">
        <f>SUMIFS(BZ4:BZ20,$F$4:$F$20,"x")*3.415</f>
        <v>0</v>
      </c>
      <c r="CA27" s="16">
        <f>SUMIFS(CA4:CA20,$F$4:$F$20,"x")*1000</f>
        <v>0</v>
      </c>
      <c r="CB27" s="16">
        <f t="shared" ref="CB27:CC27" si="18">SUMIFS(CB4:CB20,$F$4:$F$20,"x")*1000</f>
        <v>0</v>
      </c>
      <c r="CC27" s="16">
        <f t="shared" si="18"/>
        <v>0</v>
      </c>
      <c r="CD27" s="16">
        <f>SUMIFS(CD4:CD20,$F$4:$F$20,"x")*1000</f>
        <v>0</v>
      </c>
      <c r="CE27" s="71">
        <f>SUM(BZ27:CD27)/'T3D-Report Tables'!$D$17</f>
        <v>0</v>
      </c>
    </row>
    <row r="28" spans="2:83" x14ac:dyDescent="0.3">
      <c r="B28" s="21" t="s">
        <v>91</v>
      </c>
      <c r="C28" s="69">
        <f t="shared" ca="1" si="0"/>
        <v>0</v>
      </c>
      <c r="D28" s="69">
        <f t="shared" ca="1" si="0"/>
        <v>0</v>
      </c>
      <c r="E28" s="69">
        <f t="shared" ca="1" si="0"/>
        <v>0</v>
      </c>
      <c r="F28" s="69">
        <f t="shared" ca="1" si="0"/>
        <v>0</v>
      </c>
      <c r="G28" s="69">
        <f t="shared" ca="1" si="0"/>
        <v>0</v>
      </c>
      <c r="H28" s="69">
        <f t="shared" ca="1" si="0"/>
        <v>0</v>
      </c>
      <c r="I28" s="69">
        <f t="shared" ca="1" si="0"/>
        <v>0</v>
      </c>
      <c r="J28" s="69">
        <f t="shared" ca="1" si="0"/>
        <v>0</v>
      </c>
      <c r="K28" s="69">
        <f t="shared" ca="1" si="0"/>
        <v>0</v>
      </c>
      <c r="M28" s="21" t="s">
        <v>91</v>
      </c>
      <c r="N28" s="16">
        <f>SUMIFS(N4:N20,$G$4:$G$20,"x")*3.415</f>
        <v>0</v>
      </c>
      <c r="O28" s="16">
        <f>SUMIFS(O4:O20,$G$4:$G$20,"x")*1000</f>
        <v>0</v>
      </c>
      <c r="P28" s="16">
        <f t="shared" ref="P28:R28" si="19">SUMIFS(P4:P20,$G$4:$G$20,"x")*1000</f>
        <v>0</v>
      </c>
      <c r="Q28" s="16">
        <f t="shared" si="19"/>
        <v>0</v>
      </c>
      <c r="R28" s="16">
        <f t="shared" si="19"/>
        <v>0</v>
      </c>
      <c r="S28" s="71">
        <f>SUM(N28:R28)/'T3D-Report Tables'!$D$17</f>
        <v>0</v>
      </c>
      <c r="U28" s="21" t="s">
        <v>91</v>
      </c>
      <c r="V28" s="16">
        <f>SUMIFS(V4:V20,$G$4:$G$20,"x")*3.415</f>
        <v>0</v>
      </c>
      <c r="W28" s="16">
        <f>SUMIFS(W4:W20,$G$4:$G$20,"x")*1000</f>
        <v>0</v>
      </c>
      <c r="X28" s="16">
        <f t="shared" ref="X28:Z28" si="20">SUMIFS(X4:X20,$G$4:$G$20,"x")*1000</f>
        <v>0</v>
      </c>
      <c r="Y28" s="16">
        <f t="shared" si="20"/>
        <v>0</v>
      </c>
      <c r="Z28" s="16">
        <f t="shared" si="20"/>
        <v>0</v>
      </c>
      <c r="AA28" s="71">
        <f>SUM(V28:Z28)/'T3D-Report Tables'!$D$17</f>
        <v>0</v>
      </c>
      <c r="AC28" s="21" t="s">
        <v>91</v>
      </c>
      <c r="AD28" s="16">
        <f>SUMIFS(AD4:AD20,$G$4:$G$20,"x")*3.415</f>
        <v>0</v>
      </c>
      <c r="AE28" s="16">
        <f>SUMIFS(AE4:AE20,$G$4:$G$20,"x")*1000</f>
        <v>0</v>
      </c>
      <c r="AF28" s="16">
        <f t="shared" ref="AF28:AH28" si="21">SUMIFS(AF4:AF20,$G$4:$G$20,"x")*1000</f>
        <v>0</v>
      </c>
      <c r="AG28" s="16">
        <f t="shared" si="21"/>
        <v>0</v>
      </c>
      <c r="AH28" s="16">
        <f t="shared" si="21"/>
        <v>0</v>
      </c>
      <c r="AI28" s="71">
        <f>SUM(AD28:AH28)/'T3D-Report Tables'!$D$17</f>
        <v>0</v>
      </c>
      <c r="AK28" s="21" t="s">
        <v>91</v>
      </c>
      <c r="AL28" s="16">
        <f>SUMIFS(AL4:AL20,$G$4:$G$20,"x")*3.415</f>
        <v>0</v>
      </c>
      <c r="AM28" s="16">
        <f>SUMIFS(AM4:AM20,$G$4:$G$20,"x")*1000</f>
        <v>0</v>
      </c>
      <c r="AN28" s="16">
        <f t="shared" ref="AN28:AP28" si="22">SUMIFS(AN4:AN20,$G$4:$G$20,"x")*1000</f>
        <v>0</v>
      </c>
      <c r="AO28" s="16">
        <f t="shared" si="22"/>
        <v>0</v>
      </c>
      <c r="AP28" s="16">
        <f t="shared" si="22"/>
        <v>0</v>
      </c>
      <c r="AQ28" s="71">
        <f>SUM(AL28:AP28)/'T3D-Report Tables'!$D$17</f>
        <v>0</v>
      </c>
      <c r="AS28" s="21" t="s">
        <v>91</v>
      </c>
      <c r="AT28" s="16">
        <f>SUMIFS(AT4:AT20,$G$4:$G$20,"x")*3.415</f>
        <v>0</v>
      </c>
      <c r="AU28" s="16">
        <f>SUMIFS(AU4:AU20,$G$4:$G$20,"x")*1000</f>
        <v>0</v>
      </c>
      <c r="AV28" s="16">
        <f t="shared" ref="AV28:AX28" si="23">SUMIFS(AV4:AV20,$G$4:$G$20,"x")*1000</f>
        <v>0</v>
      </c>
      <c r="AW28" s="16">
        <f t="shared" si="23"/>
        <v>0</v>
      </c>
      <c r="AX28" s="16">
        <f t="shared" si="23"/>
        <v>0</v>
      </c>
      <c r="AY28" s="71">
        <f>SUM(AT28:AX28)/'T3D-Report Tables'!$D$17</f>
        <v>0</v>
      </c>
      <c r="BA28" s="21" t="s">
        <v>91</v>
      </c>
      <c r="BB28" s="16">
        <f>SUMIFS(BB4:BB20,$G$4:$G$20,"x")*3.415</f>
        <v>0</v>
      </c>
      <c r="BC28" s="16">
        <f>SUMIFS(BC4:BC20,$G$4:$G$20,"x")*1000</f>
        <v>0</v>
      </c>
      <c r="BD28" s="16">
        <f t="shared" ref="BD28:BF28" si="24">SUMIFS(BD4:BD20,$G$4:$G$20,"x")*1000</f>
        <v>0</v>
      </c>
      <c r="BE28" s="16">
        <f t="shared" si="24"/>
        <v>0</v>
      </c>
      <c r="BF28" s="16">
        <f t="shared" si="24"/>
        <v>0</v>
      </c>
      <c r="BG28" s="71">
        <f>SUM(BB28:BF28)/'T3D-Report Tables'!$D$17</f>
        <v>0</v>
      </c>
      <c r="BI28" s="21" t="s">
        <v>91</v>
      </c>
      <c r="BJ28" s="16">
        <f>SUMIFS(BJ4:BJ20,$G$4:$G$20,"x")*3.415</f>
        <v>0</v>
      </c>
      <c r="BK28" s="16">
        <f>SUMIFS(BK4:BK20,$G$4:$G$20,"x")*1000</f>
        <v>0</v>
      </c>
      <c r="BL28" s="16">
        <f t="shared" ref="BL28:BN28" si="25">SUMIFS(BL4:BL20,$G$4:$G$20,"x")*1000</f>
        <v>0</v>
      </c>
      <c r="BM28" s="16">
        <f t="shared" si="25"/>
        <v>0</v>
      </c>
      <c r="BN28" s="16">
        <f t="shared" si="25"/>
        <v>0</v>
      </c>
      <c r="BO28" s="71">
        <f>SUM(BJ28:BN28)/'T3D-Report Tables'!$D$17</f>
        <v>0</v>
      </c>
      <c r="BQ28" s="21" t="s">
        <v>91</v>
      </c>
      <c r="BR28" s="16">
        <f>SUMIFS(BR4:BR20,$G$4:$G$20,"x")*3.415</f>
        <v>0</v>
      </c>
      <c r="BS28" s="16">
        <f>SUMIFS(BS4:BS20,$G$4:$G$20,"x")*1000</f>
        <v>0</v>
      </c>
      <c r="BT28" s="16">
        <f t="shared" ref="BT28:BV28" si="26">SUMIFS(BT4:BT20,$G$4:$G$20,"x")*1000</f>
        <v>0</v>
      </c>
      <c r="BU28" s="16">
        <f t="shared" si="26"/>
        <v>0</v>
      </c>
      <c r="BV28" s="16">
        <f t="shared" si="26"/>
        <v>0</v>
      </c>
      <c r="BW28" s="71">
        <f>SUM(BR28:BV28)/'T3D-Report Tables'!$D$17</f>
        <v>0</v>
      </c>
      <c r="BY28" s="21" t="s">
        <v>91</v>
      </c>
      <c r="BZ28" s="16">
        <f>SUMIFS(BZ4:BZ20,$G$4:$G$20,"x")*3.415</f>
        <v>0</v>
      </c>
      <c r="CA28" s="16">
        <f>SUMIFS(CA4:CA20,$G$4:$G$20,"x")*1000</f>
        <v>0</v>
      </c>
      <c r="CB28" s="16">
        <f t="shared" ref="CB28:CD28" si="27">SUMIFS(CB4:CB20,$G$4:$G$20,"x")*1000</f>
        <v>0</v>
      </c>
      <c r="CC28" s="16">
        <f t="shared" si="27"/>
        <v>0</v>
      </c>
      <c r="CD28" s="16">
        <f t="shared" si="27"/>
        <v>0</v>
      </c>
      <c r="CE28" s="71">
        <f>SUM(BZ28:CD28)/'T3D-Report Tables'!$D$17</f>
        <v>0</v>
      </c>
    </row>
    <row r="29" spans="2:83" x14ac:dyDescent="0.3">
      <c r="B29" s="21" t="s">
        <v>103</v>
      </c>
      <c r="C29" s="69">
        <f t="shared" ca="1" si="0"/>
        <v>0</v>
      </c>
      <c r="D29" s="69">
        <f t="shared" ca="1" si="0"/>
        <v>0</v>
      </c>
      <c r="E29" s="69">
        <f t="shared" ca="1" si="0"/>
        <v>0</v>
      </c>
      <c r="F29" s="69">
        <f t="shared" ca="1" si="0"/>
        <v>0</v>
      </c>
      <c r="G29" s="69">
        <f t="shared" ca="1" si="0"/>
        <v>0</v>
      </c>
      <c r="H29" s="69">
        <f t="shared" ca="1" si="0"/>
        <v>0</v>
      </c>
      <c r="I29" s="69">
        <f t="shared" ca="1" si="0"/>
        <v>0</v>
      </c>
      <c r="J29" s="69">
        <f t="shared" ca="1" si="0"/>
        <v>0</v>
      </c>
      <c r="K29" s="69">
        <f t="shared" ca="1" si="0"/>
        <v>0</v>
      </c>
      <c r="M29" s="21" t="s">
        <v>103</v>
      </c>
      <c r="N29" s="16">
        <f>SUMIFS(N4:N20,$H$4:$H$20,"x")*3.415</f>
        <v>0</v>
      </c>
      <c r="O29" s="16">
        <f>SUMIFS(O4:O20,$H$4:$H$20,"x")*1000</f>
        <v>0</v>
      </c>
      <c r="P29" s="16">
        <f t="shared" ref="P29:R29" si="28">SUMIFS(P4:P20,$H$4:$H$20,"x")*1000</f>
        <v>0</v>
      </c>
      <c r="Q29" s="16">
        <f t="shared" si="28"/>
        <v>0</v>
      </c>
      <c r="R29" s="16">
        <f t="shared" si="28"/>
        <v>0</v>
      </c>
      <c r="S29" s="71">
        <f>SUM(N29:R29)/'T3D-Report Tables'!$D$17</f>
        <v>0</v>
      </c>
      <c r="U29" s="21" t="s">
        <v>103</v>
      </c>
      <c r="V29" s="16">
        <f>SUMIFS(V4:V20,$H$4:$H$20,"x")*3.415</f>
        <v>0</v>
      </c>
      <c r="W29" s="16">
        <f>SUMIFS(W4:W20,$H$4:$H$20,"x")*1000</f>
        <v>0</v>
      </c>
      <c r="X29" s="16">
        <f t="shared" ref="X29:Y29" si="29">SUMIFS(X4:X20,$H$4:$H$20,"x")*1000</f>
        <v>0</v>
      </c>
      <c r="Y29" s="16">
        <f t="shared" si="29"/>
        <v>0</v>
      </c>
      <c r="Z29" s="16">
        <f>SUMIFS(Z4:Z20,$H$4:$H$20,"x")*1000</f>
        <v>0</v>
      </c>
      <c r="AA29" s="71">
        <f>SUM(V29:Z29)/'T3D-Report Tables'!$D$17</f>
        <v>0</v>
      </c>
      <c r="AC29" s="21" t="s">
        <v>103</v>
      </c>
      <c r="AD29" s="16">
        <f>SUMIFS(AD4:AD20,$H$4:$H$20,"x")*3.415</f>
        <v>0</v>
      </c>
      <c r="AE29" s="16">
        <f>SUMIFS(AE4:AE20,$H$4:$H$20,"x")*1000</f>
        <v>0</v>
      </c>
      <c r="AF29" s="16">
        <f t="shared" ref="AF29:AG29" si="30">SUMIFS(AF4:AF20,$H$4:$H$20,"x")*1000</f>
        <v>0</v>
      </c>
      <c r="AG29" s="16">
        <f t="shared" si="30"/>
        <v>0</v>
      </c>
      <c r="AH29" s="16">
        <f>SUMIFS(AH4:AH20,$H$4:$H$20,"x")*1000</f>
        <v>0</v>
      </c>
      <c r="AI29" s="71">
        <f>SUM(AD29:AH29)/'T3D-Report Tables'!$D$17</f>
        <v>0</v>
      </c>
      <c r="AK29" s="21" t="s">
        <v>103</v>
      </c>
      <c r="AL29" s="16">
        <f>SUMIFS(AL4:AL20,$H$4:$H$20,"x")*3.415</f>
        <v>0</v>
      </c>
      <c r="AM29" s="16">
        <f>SUMIFS(AM4:AM20,$H$4:$H$20,"x")*1000</f>
        <v>0</v>
      </c>
      <c r="AN29" s="16">
        <f t="shared" ref="AN29:AO29" si="31">SUMIFS(AN4:AN20,$H$4:$H$20,"x")*1000</f>
        <v>0</v>
      </c>
      <c r="AO29" s="16">
        <f t="shared" si="31"/>
        <v>0</v>
      </c>
      <c r="AP29" s="16">
        <f>SUMIFS(AP4:AP20,$H$4:$H$20,"x")*1000</f>
        <v>0</v>
      </c>
      <c r="AQ29" s="71">
        <f>SUM(AL29:AP29)/'T3D-Report Tables'!$D$17</f>
        <v>0</v>
      </c>
      <c r="AS29" s="21" t="s">
        <v>103</v>
      </c>
      <c r="AT29" s="16">
        <f>SUMIFS(AT4:AT20,$H$4:$H$20,"x")*3.415</f>
        <v>0</v>
      </c>
      <c r="AU29" s="16">
        <f>SUMIFS(AU4:AU20,$H$4:$H$20,"x")*1000</f>
        <v>0</v>
      </c>
      <c r="AV29" s="16">
        <f t="shared" ref="AV29:AW29" si="32">SUMIFS(AV4:AV20,$H$4:$H$20,"x")*1000</f>
        <v>0</v>
      </c>
      <c r="AW29" s="16">
        <f t="shared" si="32"/>
        <v>0</v>
      </c>
      <c r="AX29" s="16">
        <f>SUMIFS(AX4:AX20,$H$4:$H$20,"x")*1000</f>
        <v>0</v>
      </c>
      <c r="AY29" s="71">
        <f>SUM(AT29:AX29)/'T3D-Report Tables'!$D$17</f>
        <v>0</v>
      </c>
      <c r="BA29" s="21" t="s">
        <v>103</v>
      </c>
      <c r="BB29" s="16">
        <f>SUMIFS(BB4:BB20,$H$4:$H$20,"x")*3.415</f>
        <v>0</v>
      </c>
      <c r="BC29" s="16">
        <f>SUMIFS(BC4:BC20,$H$4:$H$20,"x")*1000</f>
        <v>0</v>
      </c>
      <c r="BD29" s="16">
        <f t="shared" ref="BD29:BE29" si="33">SUMIFS(BD4:BD20,$H$4:$H$20,"x")*1000</f>
        <v>0</v>
      </c>
      <c r="BE29" s="16">
        <f t="shared" si="33"/>
        <v>0</v>
      </c>
      <c r="BF29" s="16">
        <f>SUMIFS(BF4:BF20,$H$4:$H$20,"x")*1000</f>
        <v>0</v>
      </c>
      <c r="BG29" s="71">
        <f>SUM(BB29:BF29)/'T3D-Report Tables'!$D$17</f>
        <v>0</v>
      </c>
      <c r="BI29" s="21" t="s">
        <v>103</v>
      </c>
      <c r="BJ29" s="16">
        <f>SUMIFS(BJ4:BJ20,$H$4:$H$20,"x")*3.415</f>
        <v>0</v>
      </c>
      <c r="BK29" s="16">
        <f>SUMIFS(BK4:BK20,$H$4:$H$20,"x")*1000</f>
        <v>0</v>
      </c>
      <c r="BL29" s="16">
        <f t="shared" ref="BL29:BM29" si="34">SUMIFS(BL4:BL20,$H$4:$H$20,"x")*1000</f>
        <v>0</v>
      </c>
      <c r="BM29" s="16">
        <f t="shared" si="34"/>
        <v>0</v>
      </c>
      <c r="BN29" s="16">
        <f>SUMIFS(BN4:BN20,$H$4:$H$20,"x")*1000</f>
        <v>0</v>
      </c>
      <c r="BO29" s="71">
        <f>SUM(BJ29:BN29)/'T3D-Report Tables'!$D$17</f>
        <v>0</v>
      </c>
      <c r="BQ29" s="21" t="s">
        <v>103</v>
      </c>
      <c r="BR29" s="16">
        <f>SUMIFS(BR4:BR20,$H$4:$H$20,"x")*3.415</f>
        <v>0</v>
      </c>
      <c r="BS29" s="16">
        <f>SUMIFS(BS4:BS20,$H$4:$H$20,"x")*1000</f>
        <v>0</v>
      </c>
      <c r="BT29" s="16">
        <f t="shared" ref="BT29:BU29" si="35">SUMIFS(BT4:BT20,$H$4:$H$20,"x")*1000</f>
        <v>0</v>
      </c>
      <c r="BU29" s="16">
        <f t="shared" si="35"/>
        <v>0</v>
      </c>
      <c r="BV29" s="16">
        <f>SUMIFS(BV4:BV20,$H$4:$H$20,"x")*1000</f>
        <v>0</v>
      </c>
      <c r="BW29" s="71">
        <f>SUM(BR29:BV29)/'T3D-Report Tables'!$D$17</f>
        <v>0</v>
      </c>
      <c r="BY29" s="21" t="s">
        <v>103</v>
      </c>
      <c r="BZ29" s="16">
        <f>SUMIFS(BZ4:BZ20,$H$4:$H$20,"x")*3.415</f>
        <v>0</v>
      </c>
      <c r="CA29" s="16">
        <f>SUMIFS(CA4:CA20,$H$4:$H$20,"x")*1000</f>
        <v>0</v>
      </c>
      <c r="CB29" s="16">
        <f t="shared" ref="CB29:CC29" si="36">SUMIFS(CB4:CB20,$H$4:$H$20,"x")*1000</f>
        <v>0</v>
      </c>
      <c r="CC29" s="16">
        <f t="shared" si="36"/>
        <v>0</v>
      </c>
      <c r="CD29" s="16">
        <f>SUMIFS(CD4:CD20,$H$4:$H$20,"x")*1000</f>
        <v>0</v>
      </c>
      <c r="CE29" s="71">
        <f>SUM(BZ29:CD29)/'T3D-Report Tables'!$D$17</f>
        <v>0</v>
      </c>
    </row>
    <row r="30" spans="2:83" x14ac:dyDescent="0.3">
      <c r="B30" s="21" t="s">
        <v>102</v>
      </c>
      <c r="C30" s="69">
        <f t="shared" ca="1" si="0"/>
        <v>0</v>
      </c>
      <c r="D30" s="69">
        <f t="shared" ca="1" si="0"/>
        <v>0</v>
      </c>
      <c r="E30" s="69">
        <f t="shared" ca="1" si="0"/>
        <v>0</v>
      </c>
      <c r="F30" s="69">
        <f t="shared" ca="1" si="0"/>
        <v>0</v>
      </c>
      <c r="G30" s="69">
        <f t="shared" ca="1" si="0"/>
        <v>0</v>
      </c>
      <c r="H30" s="69">
        <f t="shared" ca="1" si="0"/>
        <v>0</v>
      </c>
      <c r="I30" s="69">
        <f t="shared" ca="1" si="0"/>
        <v>0</v>
      </c>
      <c r="J30" s="69">
        <f t="shared" ca="1" si="0"/>
        <v>0</v>
      </c>
      <c r="K30" s="69">
        <f t="shared" ca="1" si="0"/>
        <v>0</v>
      </c>
      <c r="M30" s="21" t="s">
        <v>102</v>
      </c>
      <c r="N30" s="16">
        <f>SUMIFS(N4:N20,$I$4:$I$20,"x")*3.415</f>
        <v>0</v>
      </c>
      <c r="O30" s="16">
        <f>SUMIFS(O4:O20,$I$4:$I$20,"x")*1000</f>
        <v>0</v>
      </c>
      <c r="P30" s="16">
        <f t="shared" ref="P30:R30" si="37">SUMIFS(P4:P20,$I$4:$I$20,"x")*1000</f>
        <v>0</v>
      </c>
      <c r="Q30" s="16">
        <f t="shared" si="37"/>
        <v>0</v>
      </c>
      <c r="R30" s="16">
        <f t="shared" si="37"/>
        <v>0</v>
      </c>
      <c r="S30" s="71">
        <f>SUM(N30:R30)/'T3D-Report Tables'!$D$17</f>
        <v>0</v>
      </c>
      <c r="U30" s="21" t="s">
        <v>102</v>
      </c>
      <c r="V30" s="16">
        <f>SUMIFS(V4:V20,$I$4:$I$20,"x")*3.415</f>
        <v>0</v>
      </c>
      <c r="W30" s="16">
        <f>SUMIFS(W4:W20,$I$4:$I$20,"x")*1000</f>
        <v>0</v>
      </c>
      <c r="X30" s="16">
        <f t="shared" ref="X30:Z30" si="38">SUMIFS(X4:X20,$I$4:$I$20,"x")*1000</f>
        <v>0</v>
      </c>
      <c r="Y30" s="16">
        <f t="shared" si="38"/>
        <v>0</v>
      </c>
      <c r="Z30" s="16">
        <f t="shared" si="38"/>
        <v>0</v>
      </c>
      <c r="AA30" s="71">
        <f>SUM(V30:Z30)/'T3D-Report Tables'!$D$17</f>
        <v>0</v>
      </c>
      <c r="AC30" s="21" t="s">
        <v>102</v>
      </c>
      <c r="AD30" s="16">
        <f>SUMIFS(AD4:AD20,$I$4:$I$20,"x")*3.415</f>
        <v>0</v>
      </c>
      <c r="AE30" s="16">
        <f>SUMIFS(AE4:AE20,$I$4:$I$20,"x")*1000</f>
        <v>0</v>
      </c>
      <c r="AF30" s="16">
        <f t="shared" ref="AF30:AH30" si="39">SUMIFS(AF4:AF20,$I$4:$I$20,"x")*1000</f>
        <v>0</v>
      </c>
      <c r="AG30" s="16">
        <f t="shared" si="39"/>
        <v>0</v>
      </c>
      <c r="AH30" s="16">
        <f t="shared" si="39"/>
        <v>0</v>
      </c>
      <c r="AI30" s="71">
        <f>SUM(AD30:AH30)/'T3D-Report Tables'!$D$17</f>
        <v>0</v>
      </c>
      <c r="AK30" s="21" t="s">
        <v>102</v>
      </c>
      <c r="AL30" s="16">
        <f>SUMIFS(AL4:AL20,$I$4:$I$20,"x")*3.415</f>
        <v>0</v>
      </c>
      <c r="AM30" s="16">
        <f>SUMIFS(AM4:AM20,$I$4:$I$20,"x")*1000</f>
        <v>0</v>
      </c>
      <c r="AN30" s="16">
        <f t="shared" ref="AN30:AP30" si="40">SUMIFS(AN4:AN20,$I$4:$I$20,"x")*1000</f>
        <v>0</v>
      </c>
      <c r="AO30" s="16">
        <f t="shared" si="40"/>
        <v>0</v>
      </c>
      <c r="AP30" s="16">
        <f t="shared" si="40"/>
        <v>0</v>
      </c>
      <c r="AQ30" s="71">
        <f>SUM(AL30:AP30)/'T3D-Report Tables'!$D$17</f>
        <v>0</v>
      </c>
      <c r="AS30" s="21" t="s">
        <v>102</v>
      </c>
      <c r="AT30" s="16">
        <f>SUMIFS(AT4:AT20,$I$4:$I$20,"x")*3.415</f>
        <v>0</v>
      </c>
      <c r="AU30" s="16">
        <f>SUMIFS(AU4:AU20,$I$4:$I$20,"x")*1000</f>
        <v>0</v>
      </c>
      <c r="AV30" s="16">
        <f t="shared" ref="AV30:AX30" si="41">SUMIFS(AV4:AV20,$I$4:$I$20,"x")*1000</f>
        <v>0</v>
      </c>
      <c r="AW30" s="16">
        <f t="shared" si="41"/>
        <v>0</v>
      </c>
      <c r="AX30" s="16">
        <f t="shared" si="41"/>
        <v>0</v>
      </c>
      <c r="AY30" s="71">
        <f>SUM(AT30:AX30)/'T3D-Report Tables'!$D$17</f>
        <v>0</v>
      </c>
      <c r="BA30" s="21" t="s">
        <v>102</v>
      </c>
      <c r="BB30" s="16">
        <f>SUMIFS(BB4:BB20,$I$4:$I$20,"x")*3.415</f>
        <v>0</v>
      </c>
      <c r="BC30" s="16">
        <f>SUMIFS(BC4:BC20,$I$4:$I$20,"x")*1000</f>
        <v>0</v>
      </c>
      <c r="BD30" s="16">
        <f t="shared" ref="BD30:BF30" si="42">SUMIFS(BD4:BD20,$I$4:$I$20,"x")*1000</f>
        <v>0</v>
      </c>
      <c r="BE30" s="16">
        <f t="shared" si="42"/>
        <v>0</v>
      </c>
      <c r="BF30" s="16">
        <f t="shared" si="42"/>
        <v>0</v>
      </c>
      <c r="BG30" s="71">
        <f>SUM(BB30:BF30)/'T3D-Report Tables'!$D$17</f>
        <v>0</v>
      </c>
      <c r="BI30" s="21" t="s">
        <v>102</v>
      </c>
      <c r="BJ30" s="16">
        <f>SUMIFS(BJ4:BJ20,$I$4:$I$20,"x")*3.415</f>
        <v>0</v>
      </c>
      <c r="BK30" s="16">
        <f>SUMIFS(BK4:BK20,$I$4:$I$20,"x")*1000</f>
        <v>0</v>
      </c>
      <c r="BL30" s="16">
        <f t="shared" ref="BL30:BN30" si="43">SUMIFS(BL4:BL20,$I$4:$I$20,"x")*1000</f>
        <v>0</v>
      </c>
      <c r="BM30" s="16">
        <f t="shared" si="43"/>
        <v>0</v>
      </c>
      <c r="BN30" s="16">
        <f t="shared" si="43"/>
        <v>0</v>
      </c>
      <c r="BO30" s="71">
        <f>SUM(BJ30:BN30)/'T3D-Report Tables'!$D$17</f>
        <v>0</v>
      </c>
      <c r="BQ30" s="21" t="s">
        <v>102</v>
      </c>
      <c r="BR30" s="16">
        <f>SUMIFS(BR4:BR20,$I$4:$I$20,"x")*3.415</f>
        <v>0</v>
      </c>
      <c r="BS30" s="16">
        <f>SUMIFS(BS4:BS20,$I$4:$I$20,"x")*1000</f>
        <v>0</v>
      </c>
      <c r="BT30" s="16">
        <f t="shared" ref="BT30:BV30" si="44">SUMIFS(BT4:BT20,$I$4:$I$20,"x")*1000</f>
        <v>0</v>
      </c>
      <c r="BU30" s="16">
        <f t="shared" si="44"/>
        <v>0</v>
      </c>
      <c r="BV30" s="16">
        <f t="shared" si="44"/>
        <v>0</v>
      </c>
      <c r="BW30" s="71">
        <f>SUM(BR30:BV30)/'T3D-Report Tables'!$D$17</f>
        <v>0</v>
      </c>
      <c r="BY30" s="21" t="s">
        <v>102</v>
      </c>
      <c r="BZ30" s="16">
        <f>SUMIFS(BZ4:BZ20,$I$4:$I$20,"x")*3.415</f>
        <v>0</v>
      </c>
      <c r="CA30" s="16">
        <f>SUMIFS(CA4:CA20,$I$4:$I$20,"x")*1000</f>
        <v>0</v>
      </c>
      <c r="CB30" s="16">
        <f t="shared" ref="CB30:CD30" si="45">SUMIFS(CB4:CB20,$I$4:$I$20,"x")*1000</f>
        <v>0</v>
      </c>
      <c r="CC30" s="16">
        <f t="shared" si="45"/>
        <v>0</v>
      </c>
      <c r="CD30" s="16">
        <f t="shared" si="45"/>
        <v>0</v>
      </c>
      <c r="CE30" s="71">
        <f>SUM(BZ30:CD30)/'T3D-Report Tables'!$D$17</f>
        <v>0</v>
      </c>
    </row>
    <row r="31" spans="2:83" x14ac:dyDescent="0.3">
      <c r="B31" s="21" t="s">
        <v>117</v>
      </c>
      <c r="C31" s="69">
        <f t="shared" ca="1" si="0"/>
        <v>0</v>
      </c>
      <c r="D31" s="69">
        <f t="shared" ca="1" si="0"/>
        <v>0</v>
      </c>
      <c r="E31" s="69">
        <f t="shared" ca="1" si="0"/>
        <v>0</v>
      </c>
      <c r="F31" s="69">
        <f t="shared" ca="1" si="0"/>
        <v>0</v>
      </c>
      <c r="G31" s="69">
        <f t="shared" ca="1" si="0"/>
        <v>0</v>
      </c>
      <c r="H31" s="69">
        <f t="shared" ca="1" si="0"/>
        <v>0</v>
      </c>
      <c r="I31" s="69">
        <f t="shared" ca="1" si="0"/>
        <v>0</v>
      </c>
      <c r="J31" s="69">
        <f t="shared" ca="1" si="0"/>
        <v>0</v>
      </c>
      <c r="K31" s="69">
        <f t="shared" ca="1" si="0"/>
        <v>0</v>
      </c>
      <c r="M31" s="21" t="s">
        <v>117</v>
      </c>
      <c r="N31" s="16">
        <f>SUMIFS(N4:N20,$J$4:$J$20,"x")*3.415</f>
        <v>0</v>
      </c>
      <c r="O31" s="16">
        <f>SUMIFS(O4:O20,$J$4:$J$20,"x")*1000</f>
        <v>0</v>
      </c>
      <c r="P31" s="16">
        <f t="shared" ref="P31:Q31" si="46">SUMIFS(P4:P20,$J$4:$J$20,"x")*1000</f>
        <v>0</v>
      </c>
      <c r="Q31" s="16">
        <f t="shared" si="46"/>
        <v>0</v>
      </c>
      <c r="R31" s="16">
        <f>SUMIFS(R4:R20,$J$4:$J$20,"x")*1000</f>
        <v>0</v>
      </c>
      <c r="S31" s="71">
        <f>SUM(N31:R31)/'T3D-Report Tables'!$D$17</f>
        <v>0</v>
      </c>
      <c r="U31" s="21" t="s">
        <v>117</v>
      </c>
      <c r="V31" s="16">
        <f>SUMIFS(V4:V20,$J$4:$J$20,"x")*3.415</f>
        <v>0</v>
      </c>
      <c r="W31" s="16">
        <f>SUMIFS(W4:W20,$J$4:$J$20,"x")*1000</f>
        <v>0</v>
      </c>
      <c r="X31" s="16">
        <f t="shared" ref="X31" si="47">SUMIFS(X4:X20,$J$4:$J$20,"x")*1000</f>
        <v>0</v>
      </c>
      <c r="Y31" s="16">
        <f>SUMIFS(Y4:Y20,$J$4:$J$20,"x")*1000</f>
        <v>0</v>
      </c>
      <c r="Z31" s="16">
        <f>SUMIFS(Z4:Z20,$J$4:$J$20,"x")*1000</f>
        <v>0</v>
      </c>
      <c r="AA31" s="71">
        <f>SUM(V31:Z31)/'T3D-Report Tables'!$D$17</f>
        <v>0</v>
      </c>
      <c r="AC31" s="21" t="s">
        <v>117</v>
      </c>
      <c r="AD31" s="16">
        <f>SUMIFS(AD4:AD20,$J$4:$J$20,"x")*3.415</f>
        <v>0</v>
      </c>
      <c r="AE31" s="16">
        <f>SUMIFS(AE4:AE20,$J$4:$J$20,"x")*1000</f>
        <v>0</v>
      </c>
      <c r="AF31" s="16">
        <f t="shared" ref="AF31" si="48">SUMIFS(AF4:AF20,$J$4:$J$20,"x")*1000</f>
        <v>0</v>
      </c>
      <c r="AG31" s="16">
        <f>SUMIFS(AG4:AG20,$J$4:$J$20,"x")*1000</f>
        <v>0</v>
      </c>
      <c r="AH31" s="16">
        <f>SUMIFS(AH4:AH20,$J$4:$J$20,"x")*1000</f>
        <v>0</v>
      </c>
      <c r="AI31" s="71">
        <f>SUM(AD31:AH31)/'T3D-Report Tables'!$D$17</f>
        <v>0</v>
      </c>
      <c r="AK31" s="21" t="s">
        <v>117</v>
      </c>
      <c r="AL31" s="16">
        <f>SUMIFS(AL4:AL20,$J$4:$J$20,"x")*3.415</f>
        <v>0</v>
      </c>
      <c r="AM31" s="16">
        <f>SUMIFS(AM4:AM20,$J$4:$J$20,"x")*1000</f>
        <v>0</v>
      </c>
      <c r="AN31" s="16">
        <f t="shared" ref="AN31" si="49">SUMIFS(AN4:AN20,$J$4:$J$20,"x")*1000</f>
        <v>0</v>
      </c>
      <c r="AO31" s="16">
        <f>SUMIFS(AO4:AO20,$J$4:$J$20,"x")*1000</f>
        <v>0</v>
      </c>
      <c r="AP31" s="16">
        <f>SUMIFS(AP4:AP20,$J$4:$J$20,"x")*1000</f>
        <v>0</v>
      </c>
      <c r="AQ31" s="71">
        <f>SUM(AL31:AP31)/'T3D-Report Tables'!$D$17</f>
        <v>0</v>
      </c>
      <c r="AS31" s="21" t="s">
        <v>117</v>
      </c>
      <c r="AT31" s="16">
        <f>SUMIFS(AT4:AT20,$J$4:$J$20,"x")*3.415</f>
        <v>0</v>
      </c>
      <c r="AU31" s="16">
        <f>SUMIFS(AU4:AU20,$J$4:$J$20,"x")*1000</f>
        <v>0</v>
      </c>
      <c r="AV31" s="16">
        <f t="shared" ref="AV31" si="50">SUMIFS(AV4:AV20,$J$4:$J$20,"x")*1000</f>
        <v>0</v>
      </c>
      <c r="AW31" s="16">
        <f>SUMIFS(AW4:AW20,$J$4:$J$20,"x")*1000</f>
        <v>0</v>
      </c>
      <c r="AX31" s="16">
        <f>SUMIFS(AX4:AX20,$J$4:$J$20,"x")*1000</f>
        <v>0</v>
      </c>
      <c r="AY31" s="71">
        <f>SUM(AT31:AX31)/'T3D-Report Tables'!$D$17</f>
        <v>0</v>
      </c>
      <c r="BA31" s="21" t="s">
        <v>117</v>
      </c>
      <c r="BB31" s="16">
        <f>SUMIFS(BB4:BB20,$J$4:$J$20,"x")*3.415</f>
        <v>0</v>
      </c>
      <c r="BC31" s="16">
        <f>SUMIFS(BC4:BC20,$J$4:$J$20,"x")*1000</f>
        <v>0</v>
      </c>
      <c r="BD31" s="16">
        <f t="shared" ref="BD31" si="51">SUMIFS(BD4:BD20,$J$4:$J$20,"x")*1000</f>
        <v>0</v>
      </c>
      <c r="BE31" s="16">
        <f>SUMIFS(BE4:BE20,$J$4:$J$20,"x")*1000</f>
        <v>0</v>
      </c>
      <c r="BF31" s="16">
        <f>SUMIFS(BF4:BF20,$J$4:$J$20,"x")*1000</f>
        <v>0</v>
      </c>
      <c r="BG31" s="71">
        <f>SUM(BB31:BF31)/'T3D-Report Tables'!$D$17</f>
        <v>0</v>
      </c>
      <c r="BI31" s="21" t="s">
        <v>117</v>
      </c>
      <c r="BJ31" s="16">
        <f>SUMIFS(BJ4:BJ20,$J$4:$J$20,"x")*3.415</f>
        <v>0</v>
      </c>
      <c r="BK31" s="16">
        <f>SUMIFS(BK4:BK20,$J$4:$J$20,"x")*1000</f>
        <v>0</v>
      </c>
      <c r="BL31" s="16">
        <f t="shared" ref="BL31" si="52">SUMIFS(BL4:BL20,$J$4:$J$20,"x")*1000</f>
        <v>0</v>
      </c>
      <c r="BM31" s="16">
        <f>SUMIFS(BM4:BM20,$J$4:$J$20,"x")*1000</f>
        <v>0</v>
      </c>
      <c r="BN31" s="16">
        <f>SUMIFS(BN4:BN20,$J$4:$J$20,"x")*1000</f>
        <v>0</v>
      </c>
      <c r="BO31" s="71">
        <f>SUM(BJ31:BN31)/'T3D-Report Tables'!$D$17</f>
        <v>0</v>
      </c>
      <c r="BQ31" s="21" t="s">
        <v>117</v>
      </c>
      <c r="BR31" s="16">
        <f>SUMIFS(BR4:BR20,$J$4:$J$20,"x")*3.415</f>
        <v>0</v>
      </c>
      <c r="BS31" s="16">
        <f>SUMIFS(BS4:BS20,$J$4:$J$20,"x")*1000</f>
        <v>0</v>
      </c>
      <c r="BT31" s="16">
        <f t="shared" ref="BT31" si="53">SUMIFS(BT4:BT20,$J$4:$J$20,"x")*1000</f>
        <v>0</v>
      </c>
      <c r="BU31" s="16">
        <f>SUMIFS(BU4:BU20,$J$4:$J$20,"x")*1000</f>
        <v>0</v>
      </c>
      <c r="BV31" s="16">
        <f>SUMIFS(BV4:BV20,$J$4:$J$20,"x")*1000</f>
        <v>0</v>
      </c>
      <c r="BW31" s="71">
        <f>SUM(BR31:BV31)/'T3D-Report Tables'!$D$17</f>
        <v>0</v>
      </c>
      <c r="BY31" s="21" t="s">
        <v>117</v>
      </c>
      <c r="BZ31" s="16">
        <f>SUMIFS(BZ4:BZ20,$J$4:$J$20,"x")*3.415</f>
        <v>0</v>
      </c>
      <c r="CA31" s="16">
        <f>SUMIFS(CA4:CA20,$J$4:$J$20,"x")*1000</f>
        <v>0</v>
      </c>
      <c r="CB31" s="16">
        <f t="shared" ref="CB31" si="54">SUMIFS(CB4:CB20,$J$4:$J$20,"x")*1000</f>
        <v>0</v>
      </c>
      <c r="CC31" s="16">
        <f>SUMIFS(CC4:CC20,$J$4:$J$20,"x")*1000</f>
        <v>0</v>
      </c>
      <c r="CD31" s="16">
        <f>SUMIFS(CD4:CD20,$J$4:$J$20,"x")*1000</f>
        <v>0</v>
      </c>
      <c r="CE31" s="71">
        <f>SUM(BZ31:CD31)/'T3D-Report Tables'!$D$17</f>
        <v>0</v>
      </c>
    </row>
    <row r="32" spans="2:83" x14ac:dyDescent="0.3">
      <c r="B32" s="21" t="s">
        <v>95</v>
      </c>
      <c r="C32" s="69">
        <f t="shared" ca="1" si="0"/>
        <v>0</v>
      </c>
      <c r="D32" s="69">
        <f t="shared" ca="1" si="0"/>
        <v>0</v>
      </c>
      <c r="E32" s="69">
        <f t="shared" ca="1" si="0"/>
        <v>0</v>
      </c>
      <c r="F32" s="69">
        <f t="shared" ca="1" si="0"/>
        <v>0</v>
      </c>
      <c r="G32" s="69">
        <f t="shared" ca="1" si="0"/>
        <v>0</v>
      </c>
      <c r="H32" s="69">
        <f t="shared" ca="1" si="0"/>
        <v>0</v>
      </c>
      <c r="I32" s="69">
        <f t="shared" ca="1" si="0"/>
        <v>0</v>
      </c>
      <c r="J32" s="69">
        <f t="shared" ca="1" si="0"/>
        <v>0</v>
      </c>
      <c r="K32" s="69">
        <f t="shared" ca="1" si="0"/>
        <v>0</v>
      </c>
      <c r="M32" s="21" t="s">
        <v>95</v>
      </c>
      <c r="N32" s="16">
        <f>SUMIFS(N4:N20,$K$4:$K$20,"x")*3.415</f>
        <v>0</v>
      </c>
      <c r="O32" s="16">
        <f>SUMIFS(O4:O20,$K$4:$K$20,"x")*1000</f>
        <v>0</v>
      </c>
      <c r="P32" s="16">
        <f t="shared" ref="P32:R32" si="55">SUMIFS(P4:P20,$K$4:$K$20,"x")*1000</f>
        <v>0</v>
      </c>
      <c r="Q32" s="16">
        <f t="shared" si="55"/>
        <v>0</v>
      </c>
      <c r="R32" s="16">
        <f t="shared" si="55"/>
        <v>0</v>
      </c>
      <c r="S32" s="71">
        <f>SUM(N32:R32)/'T3D-Report Tables'!$D$17</f>
        <v>0</v>
      </c>
      <c r="U32" s="21" t="s">
        <v>95</v>
      </c>
      <c r="V32" s="16">
        <f>SUMIFS(V4:V20,$K$4:$K$20,"x")*3.415</f>
        <v>0</v>
      </c>
      <c r="W32" s="16">
        <f>SUMIFS(W4:W20,$K$4:$K$20,"x")*1000</f>
        <v>0</v>
      </c>
      <c r="X32" s="16">
        <f t="shared" ref="X32:Z32" si="56">SUMIFS(X4:X20,$K$4:$K$20,"x")*1000</f>
        <v>0</v>
      </c>
      <c r="Y32" s="16">
        <f t="shared" si="56"/>
        <v>0</v>
      </c>
      <c r="Z32" s="16">
        <f t="shared" si="56"/>
        <v>0</v>
      </c>
      <c r="AA32" s="71">
        <f>SUM(V32:Z32)/'T3D-Report Tables'!$D$17</f>
        <v>0</v>
      </c>
      <c r="AC32" s="21" t="s">
        <v>95</v>
      </c>
      <c r="AD32" s="16">
        <f>SUMIFS(AD4:AD20,$K$4:$K$20,"x")*3.415</f>
        <v>0</v>
      </c>
      <c r="AE32" s="16">
        <f>SUMIFS(AE4:AE20,$K$4:$K$20,"x")*1000</f>
        <v>0</v>
      </c>
      <c r="AF32" s="16">
        <f t="shared" ref="AF32:AH32" si="57">SUMIFS(AF4:AF20,$K$4:$K$20,"x")*1000</f>
        <v>0</v>
      </c>
      <c r="AG32" s="16">
        <f t="shared" si="57"/>
        <v>0</v>
      </c>
      <c r="AH32" s="16">
        <f t="shared" si="57"/>
        <v>0</v>
      </c>
      <c r="AI32" s="71">
        <f>SUM(AD32:AH32)/'T3D-Report Tables'!$D$17</f>
        <v>0</v>
      </c>
      <c r="AK32" s="21" t="s">
        <v>95</v>
      </c>
      <c r="AL32" s="16">
        <f>SUMIFS(AL4:AL20,$K$4:$K$20,"x")*3.415</f>
        <v>0</v>
      </c>
      <c r="AM32" s="16">
        <f>SUMIFS(AM4:AM20,$K$4:$K$20,"x")*1000</f>
        <v>0</v>
      </c>
      <c r="AN32" s="16">
        <f t="shared" ref="AN32:AP32" si="58">SUMIFS(AN4:AN20,$K$4:$K$20,"x")*1000</f>
        <v>0</v>
      </c>
      <c r="AO32" s="16">
        <f t="shared" si="58"/>
        <v>0</v>
      </c>
      <c r="AP32" s="16">
        <f t="shared" si="58"/>
        <v>0</v>
      </c>
      <c r="AQ32" s="71">
        <f>SUM(AL32:AP32)/'T3D-Report Tables'!$D$17</f>
        <v>0</v>
      </c>
      <c r="AS32" s="21" t="s">
        <v>95</v>
      </c>
      <c r="AT32" s="16">
        <f>SUMIFS(AT4:AT20,$K$4:$K$20,"x")*3.415</f>
        <v>0</v>
      </c>
      <c r="AU32" s="16">
        <f>SUMIFS(AU4:AU20,$K$4:$K$20,"x")*1000</f>
        <v>0</v>
      </c>
      <c r="AV32" s="16">
        <f t="shared" ref="AV32:AX32" si="59">SUMIFS(AV4:AV20,$K$4:$K$20,"x")*1000</f>
        <v>0</v>
      </c>
      <c r="AW32" s="16">
        <f t="shared" si="59"/>
        <v>0</v>
      </c>
      <c r="AX32" s="16">
        <f t="shared" si="59"/>
        <v>0</v>
      </c>
      <c r="AY32" s="71">
        <f>SUM(AT32:AX32)/'T3D-Report Tables'!$D$17</f>
        <v>0</v>
      </c>
      <c r="BA32" s="21" t="s">
        <v>95</v>
      </c>
      <c r="BB32" s="16">
        <f>SUMIFS(BB4:BB20,$K$4:$K$20,"x")*3.415</f>
        <v>0</v>
      </c>
      <c r="BC32" s="16">
        <f>SUMIFS(BC4:BC20,$K$4:$K$20,"x")*1000</f>
        <v>0</v>
      </c>
      <c r="BD32" s="16">
        <f t="shared" ref="BD32:BF32" si="60">SUMIFS(BD4:BD20,$K$4:$K$20,"x")*1000</f>
        <v>0</v>
      </c>
      <c r="BE32" s="16">
        <f t="shared" si="60"/>
        <v>0</v>
      </c>
      <c r="BF32" s="16">
        <f t="shared" si="60"/>
        <v>0</v>
      </c>
      <c r="BG32" s="71">
        <f>SUM(BB32:BF32)/'T3D-Report Tables'!$D$17</f>
        <v>0</v>
      </c>
      <c r="BI32" s="21" t="s">
        <v>95</v>
      </c>
      <c r="BJ32" s="16">
        <f>SUMIFS(BJ4:BJ20,$K$4:$K$20,"x")*3.415</f>
        <v>0</v>
      </c>
      <c r="BK32" s="16">
        <f>SUMIFS(BK4:BK20,$K$4:$K$20,"x")*1000</f>
        <v>0</v>
      </c>
      <c r="BL32" s="16">
        <f t="shared" ref="BL32:BN32" si="61">SUMIFS(BL4:BL20,$K$4:$K$20,"x")*1000</f>
        <v>0</v>
      </c>
      <c r="BM32" s="16">
        <f t="shared" si="61"/>
        <v>0</v>
      </c>
      <c r="BN32" s="16">
        <f t="shared" si="61"/>
        <v>0</v>
      </c>
      <c r="BO32" s="71">
        <f>SUM(BJ32:BN32)/'T3D-Report Tables'!$D$17</f>
        <v>0</v>
      </c>
      <c r="BQ32" s="21" t="s">
        <v>95</v>
      </c>
      <c r="BR32" s="16">
        <f>SUMIFS(BR4:BR20,$K$4:$K$20,"x")*3.415</f>
        <v>0</v>
      </c>
      <c r="BS32" s="16">
        <f>SUMIFS(BS4:BS20,$K$4:$K$20,"x")*1000</f>
        <v>0</v>
      </c>
      <c r="BT32" s="16">
        <f t="shared" ref="BT32:BV32" si="62">SUMIFS(BT4:BT20,$K$4:$K$20,"x")*1000</f>
        <v>0</v>
      </c>
      <c r="BU32" s="16">
        <f t="shared" si="62"/>
        <v>0</v>
      </c>
      <c r="BV32" s="16">
        <f t="shared" si="62"/>
        <v>0</v>
      </c>
      <c r="BW32" s="71">
        <f>SUM(BR32:BV32)/'T3D-Report Tables'!$D$17</f>
        <v>0</v>
      </c>
      <c r="BY32" s="21" t="s">
        <v>95</v>
      </c>
      <c r="BZ32" s="16">
        <f>SUMIFS(BZ4:BZ20,$K$4:$K$20,"x")*3.415</f>
        <v>0</v>
      </c>
      <c r="CA32" s="16">
        <f>SUMIFS(CA4:CA20,$K$4:$K$20,"x")*1000</f>
        <v>0</v>
      </c>
      <c r="CB32" s="16">
        <f t="shared" ref="CB32:CD32" si="63">SUMIFS(CB4:CB20,$K$4:$K$20,"x")*1000</f>
        <v>0</v>
      </c>
      <c r="CC32" s="16">
        <f t="shared" si="63"/>
        <v>0</v>
      </c>
      <c r="CD32" s="16">
        <f t="shared" si="63"/>
        <v>0</v>
      </c>
      <c r="CE32" s="71">
        <f>SUM(BZ32:CD32)/'T3D-Report Tables'!$D$17</f>
        <v>0</v>
      </c>
    </row>
    <row r="33" spans="2:83" ht="12.9" thickBot="1" x14ac:dyDescent="0.35">
      <c r="B33" s="70" t="s">
        <v>2</v>
      </c>
      <c r="C33" s="100">
        <f t="shared" ca="1" si="0"/>
        <v>0</v>
      </c>
      <c r="D33" s="100">
        <f t="shared" ca="1" si="0"/>
        <v>0</v>
      </c>
      <c r="E33" s="100">
        <f t="shared" ca="1" si="0"/>
        <v>0</v>
      </c>
      <c r="F33" s="100">
        <f t="shared" ca="1" si="0"/>
        <v>0</v>
      </c>
      <c r="G33" s="100">
        <f t="shared" ca="1" si="0"/>
        <v>0</v>
      </c>
      <c r="H33" s="100">
        <f t="shared" ca="1" si="0"/>
        <v>0</v>
      </c>
      <c r="I33" s="100">
        <f t="shared" ca="1" si="0"/>
        <v>0</v>
      </c>
      <c r="J33" s="100">
        <f t="shared" ca="1" si="0"/>
        <v>0</v>
      </c>
      <c r="K33" s="100">
        <f t="shared" ca="1" si="0"/>
        <v>0</v>
      </c>
      <c r="M33" s="93" t="s">
        <v>118</v>
      </c>
      <c r="N33" s="16">
        <f>SUM(N26:N32)</f>
        <v>0</v>
      </c>
      <c r="O33" s="16">
        <f>SUM(O26:O32)</f>
        <v>0</v>
      </c>
      <c r="P33" s="16">
        <f>SUM(P26:P32)</f>
        <v>0</v>
      </c>
      <c r="Q33" s="16">
        <f>SUM(Q26:Q32)</f>
        <v>0</v>
      </c>
      <c r="R33" s="16">
        <f>SUM(R26:R32)</f>
        <v>0</v>
      </c>
      <c r="S33" s="71">
        <f>SUM(N33:R33)/'T3D-Report Tables'!$D$17</f>
        <v>0</v>
      </c>
      <c r="U33" s="93" t="s">
        <v>118</v>
      </c>
      <c r="V33" s="16">
        <f>SUM(V26:V32)</f>
        <v>0</v>
      </c>
      <c r="W33" s="16">
        <f>SUM(W26:W32)</f>
        <v>0</v>
      </c>
      <c r="X33" s="16">
        <f>SUM(X26:X32)</f>
        <v>0</v>
      </c>
      <c r="Y33" s="16">
        <f>SUM(Y26:Y32)</f>
        <v>0</v>
      </c>
      <c r="Z33" s="16">
        <f>SUM(Z26:Z32)</f>
        <v>0</v>
      </c>
      <c r="AA33" s="71">
        <f>SUM(V33:Z33)/'T3D-Report Tables'!$D$17</f>
        <v>0</v>
      </c>
      <c r="AC33" s="93" t="s">
        <v>118</v>
      </c>
      <c r="AD33" s="16">
        <f>SUM(AD26:AD32)</f>
        <v>0</v>
      </c>
      <c r="AE33" s="16">
        <f>SUM(AE26:AE32)</f>
        <v>0</v>
      </c>
      <c r="AF33" s="16">
        <f>SUM(AF26:AF32)</f>
        <v>0</v>
      </c>
      <c r="AG33" s="16">
        <f>SUM(AG26:AG32)</f>
        <v>0</v>
      </c>
      <c r="AH33" s="16">
        <f>SUM(AH26:AH32)</f>
        <v>0</v>
      </c>
      <c r="AI33" s="71">
        <f>SUM(AD33:AH33)/'T3D-Report Tables'!$D$17</f>
        <v>0</v>
      </c>
      <c r="AK33" s="93" t="s">
        <v>118</v>
      </c>
      <c r="AL33" s="16">
        <f>SUM(AL26:AL32)</f>
        <v>0</v>
      </c>
      <c r="AM33" s="16">
        <f>SUM(AM26:AM32)</f>
        <v>0</v>
      </c>
      <c r="AN33" s="16">
        <f>SUM(AN26:AN32)</f>
        <v>0</v>
      </c>
      <c r="AO33" s="16">
        <f>SUM(AO26:AO32)</f>
        <v>0</v>
      </c>
      <c r="AP33" s="16">
        <f>SUM(AP26:AP32)</f>
        <v>0</v>
      </c>
      <c r="AQ33" s="71">
        <f>SUM(AL33:AP33)/'T3D-Report Tables'!$D$17</f>
        <v>0</v>
      </c>
      <c r="AS33" s="93" t="s">
        <v>118</v>
      </c>
      <c r="AT33" s="16">
        <f>SUM(AT26:AT32)</f>
        <v>0</v>
      </c>
      <c r="AU33" s="16">
        <f>SUM(AU26:AU32)</f>
        <v>0</v>
      </c>
      <c r="AV33" s="16">
        <f>SUM(AV26:AV32)</f>
        <v>0</v>
      </c>
      <c r="AW33" s="16">
        <f>SUM(AW26:AW32)</f>
        <v>0</v>
      </c>
      <c r="AX33" s="16">
        <f>SUM(AX26:AX32)</f>
        <v>0</v>
      </c>
      <c r="AY33" s="71">
        <f>SUM(AT33:AX33)/'T3D-Report Tables'!$D$17</f>
        <v>0</v>
      </c>
      <c r="BA33" s="93" t="s">
        <v>118</v>
      </c>
      <c r="BB33" s="16">
        <f>SUM(BB26:BB32)</f>
        <v>0</v>
      </c>
      <c r="BC33" s="16">
        <f>SUM(BC26:BC32)</f>
        <v>0</v>
      </c>
      <c r="BD33" s="16">
        <f>SUM(BD26:BD32)</f>
        <v>0</v>
      </c>
      <c r="BE33" s="16">
        <f>SUM(BE26:BE32)</f>
        <v>0</v>
      </c>
      <c r="BF33" s="16">
        <f>SUM(BF26:BF32)</f>
        <v>0</v>
      </c>
      <c r="BG33" s="71">
        <f>SUM(BB33:BF33)/'T3D-Report Tables'!$D$17</f>
        <v>0</v>
      </c>
      <c r="BI33" s="93" t="s">
        <v>118</v>
      </c>
      <c r="BJ33" s="16">
        <f>SUM(BJ26:BJ32)</f>
        <v>0</v>
      </c>
      <c r="BK33" s="16">
        <f>SUM(BK26:BK32)</f>
        <v>0</v>
      </c>
      <c r="BL33" s="16">
        <f>SUM(BL26:BL32)</f>
        <v>0</v>
      </c>
      <c r="BM33" s="16">
        <f>SUM(BM26:BM32)</f>
        <v>0</v>
      </c>
      <c r="BN33" s="16">
        <f>SUM(BN26:BN32)</f>
        <v>0</v>
      </c>
      <c r="BO33" s="71">
        <f>SUM(BJ33:BN33)/'T3D-Report Tables'!$D$17</f>
        <v>0</v>
      </c>
      <c r="BQ33" s="93" t="s">
        <v>118</v>
      </c>
      <c r="BR33" s="16">
        <f>SUM(BR26:BR32)</f>
        <v>0</v>
      </c>
      <c r="BS33" s="16">
        <f>SUM(BS26:BS32)</f>
        <v>0</v>
      </c>
      <c r="BT33" s="16">
        <f>SUM(BT26:BT32)</f>
        <v>0</v>
      </c>
      <c r="BU33" s="16">
        <f>SUM(BU26:BU32)</f>
        <v>0</v>
      </c>
      <c r="BV33" s="16">
        <f>SUM(BV26:BV32)</f>
        <v>0</v>
      </c>
      <c r="BW33" s="71">
        <f>SUM(BR33:BV33)/'T3D-Report Tables'!$D$17</f>
        <v>0</v>
      </c>
      <c r="BY33" s="93" t="s">
        <v>118</v>
      </c>
      <c r="BZ33" s="16">
        <f>SUM(BZ26:BZ32)</f>
        <v>0</v>
      </c>
      <c r="CA33" s="16">
        <f>SUM(CA26:CA32)</f>
        <v>0</v>
      </c>
      <c r="CB33" s="16">
        <f>SUM(CB26:CB32)</f>
        <v>0</v>
      </c>
      <c r="CC33" s="16">
        <f>SUM(CC26:CC32)</f>
        <v>0</v>
      </c>
      <c r="CD33" s="16">
        <f>SUM(CD26:CD32)</f>
        <v>0</v>
      </c>
      <c r="CE33" s="71">
        <f>SUM(BZ33:CD33)/'T3D-Report Tables'!$D$17</f>
        <v>0</v>
      </c>
    </row>
    <row r="34" spans="2:83" x14ac:dyDescent="0.3">
      <c r="C34" s="656" t="s">
        <v>119</v>
      </c>
      <c r="D34" s="103">
        <f ca="1">$C$33-D33</f>
        <v>0</v>
      </c>
      <c r="E34" s="103">
        <f t="shared" ref="E34:K34" ca="1" si="64">$C$33-E33</f>
        <v>0</v>
      </c>
      <c r="F34" s="103">
        <f t="shared" ca="1" si="64"/>
        <v>0</v>
      </c>
      <c r="G34" s="103">
        <f t="shared" ca="1" si="64"/>
        <v>0</v>
      </c>
      <c r="H34" s="103">
        <f t="shared" ca="1" si="64"/>
        <v>0</v>
      </c>
      <c r="I34" s="103">
        <f t="shared" ca="1" si="64"/>
        <v>0</v>
      </c>
      <c r="J34" s="103">
        <f t="shared" ca="1" si="64"/>
        <v>0</v>
      </c>
      <c r="K34" s="104">
        <f t="shared" ca="1" si="64"/>
        <v>0</v>
      </c>
    </row>
    <row r="35" spans="2:83" ht="12.9" thickBot="1" x14ac:dyDescent="0.35">
      <c r="B35" s="20"/>
      <c r="C35" s="657"/>
      <c r="D35" s="101" t="e">
        <f t="shared" ref="D35:K35" ca="1" si="65">1-D33/$C$33</f>
        <v>#DIV/0!</v>
      </c>
      <c r="E35" s="101" t="e">
        <f t="shared" ca="1" si="65"/>
        <v>#DIV/0!</v>
      </c>
      <c r="F35" s="101" t="e">
        <f t="shared" ca="1" si="65"/>
        <v>#DIV/0!</v>
      </c>
      <c r="G35" s="101" t="e">
        <f t="shared" ca="1" si="65"/>
        <v>#DIV/0!</v>
      </c>
      <c r="H35" s="101" t="e">
        <f t="shared" ca="1" si="65"/>
        <v>#DIV/0!</v>
      </c>
      <c r="I35" s="101" t="e">
        <f t="shared" ca="1" si="65"/>
        <v>#DIV/0!</v>
      </c>
      <c r="J35" s="101" t="e">
        <f t="shared" ca="1" si="65"/>
        <v>#DIV/0!</v>
      </c>
      <c r="K35" s="102" t="e">
        <f t="shared" ca="1" si="65"/>
        <v>#DIV/0!</v>
      </c>
      <c r="Q35" s="113"/>
    </row>
    <row r="36" spans="2:83" x14ac:dyDescent="0.3">
      <c r="D36" s="20"/>
    </row>
    <row r="37" spans="2:83" x14ac:dyDescent="0.3">
      <c r="B37" s="21" t="s">
        <v>89</v>
      </c>
      <c r="C37" s="63">
        <f t="shared" ref="C37:K44" ca="1" si="66">OFFSET($M37,0,(6+8*C$24))</f>
        <v>0</v>
      </c>
      <c r="D37" s="63">
        <f t="shared" ca="1" si="66"/>
        <v>0</v>
      </c>
      <c r="E37" s="63">
        <f t="shared" ca="1" si="66"/>
        <v>0</v>
      </c>
      <c r="F37" s="63">
        <f t="shared" ca="1" si="66"/>
        <v>0</v>
      </c>
      <c r="G37" s="63">
        <f t="shared" ca="1" si="66"/>
        <v>0</v>
      </c>
      <c r="H37" s="63">
        <f t="shared" ca="1" si="66"/>
        <v>0</v>
      </c>
      <c r="I37" s="63">
        <f t="shared" ca="1" si="66"/>
        <v>0</v>
      </c>
      <c r="J37" s="63">
        <f t="shared" ca="1" si="66"/>
        <v>0</v>
      </c>
      <c r="K37" s="63">
        <f t="shared" ca="1" si="66"/>
        <v>0</v>
      </c>
      <c r="M37" s="21" t="s">
        <v>89</v>
      </c>
      <c r="N37" s="63">
        <f>VLOOKUP(N$25,'T3D-Report Tables'!$C$24:$D$28,2,FALSE)*N26</f>
        <v>0</v>
      </c>
      <c r="O37" s="63">
        <f>VLOOKUP(O$25,'T3D-Report Tables'!$C$24:$D$28,2,FALSE)*O26</f>
        <v>0</v>
      </c>
      <c r="P37" s="63">
        <f>VLOOKUP(P$25,'T3D-Report Tables'!$C$24:$D$28,2,FALSE)*P26</f>
        <v>0</v>
      </c>
      <c r="Q37" s="63">
        <f>VLOOKUP(Q$25,'T3D-Report Tables'!$C$24:$D$28,2,FALSE)*Q26</f>
        <v>0</v>
      </c>
      <c r="R37" s="63">
        <f>VLOOKUP(R$25,'T3D-Report Tables'!$C$24:$D$28,2,FALSE)*R26</f>
        <v>0</v>
      </c>
      <c r="S37" s="72">
        <f>SUMIF(N37:R37,"&lt;&gt;#N/A")</f>
        <v>0</v>
      </c>
      <c r="U37" s="21" t="s">
        <v>89</v>
      </c>
      <c r="V37" s="63">
        <f>VLOOKUP(V$25,'T3D-Report Tables'!$C$24:$D$28,2,FALSE)*V26</f>
        <v>0</v>
      </c>
      <c r="W37" s="63">
        <f>VLOOKUP(W$25,'T3D-Report Tables'!$C$24:$D$28,2,FALSE)*W26</f>
        <v>0</v>
      </c>
      <c r="X37" s="63">
        <f>VLOOKUP(X$25,'T3D-Report Tables'!$C$24:$D$28,2,FALSE)*X26</f>
        <v>0</v>
      </c>
      <c r="Y37" s="63">
        <f>VLOOKUP(Y$25,'T3D-Report Tables'!$C$24:$D$28,2,FALSE)*Y26</f>
        <v>0</v>
      </c>
      <c r="Z37" s="63">
        <f>VLOOKUP(Z$25,'T3D-Report Tables'!$C$24:$D$28,2,FALSE)*Z26</f>
        <v>0</v>
      </c>
      <c r="AA37" s="72">
        <f>SUMIF(V37:Z37,"&lt;&gt;#N/A")</f>
        <v>0</v>
      </c>
      <c r="AC37" s="21" t="s">
        <v>89</v>
      </c>
      <c r="AD37" s="63">
        <f>VLOOKUP(AD$25,'T3D-Report Tables'!$C$24:$D$28,2,FALSE)*AD26</f>
        <v>0</v>
      </c>
      <c r="AE37" s="63">
        <f>VLOOKUP(AE$25,'T3D-Report Tables'!$C$24:$D$28,2,FALSE)*AE26</f>
        <v>0</v>
      </c>
      <c r="AF37" s="63">
        <f>VLOOKUP(AF$25,'T3D-Report Tables'!$C$24:$D$28,2,FALSE)*AF26</f>
        <v>0</v>
      </c>
      <c r="AG37" s="63">
        <f>VLOOKUP(AG$25,'T3D-Report Tables'!$C$24:$D$28,2,FALSE)*AG26</f>
        <v>0</v>
      </c>
      <c r="AH37" s="63">
        <f>VLOOKUP(AH$25,'T3D-Report Tables'!$C$24:$D$28,2,FALSE)*AH26</f>
        <v>0</v>
      </c>
      <c r="AI37" s="72">
        <f>SUMIF(AD37:AH37,"&lt;&gt;#N/A")</f>
        <v>0</v>
      </c>
      <c r="AK37" s="21" t="s">
        <v>89</v>
      </c>
      <c r="AL37" s="63">
        <f>VLOOKUP(AL$25,'T3D-Report Tables'!$C$24:$D$28,2,FALSE)*AL26</f>
        <v>0</v>
      </c>
      <c r="AM37" s="63">
        <f>VLOOKUP(AM$25,'T3D-Report Tables'!$C$24:$D$28,2,FALSE)*AM26</f>
        <v>0</v>
      </c>
      <c r="AN37" s="63">
        <f>VLOOKUP(AN$25,'T3D-Report Tables'!$C$24:$D$28,2,FALSE)*AN26</f>
        <v>0</v>
      </c>
      <c r="AO37" s="63">
        <f>VLOOKUP(AO$25,'T3D-Report Tables'!$C$24:$D$28,2,FALSE)*AO26</f>
        <v>0</v>
      </c>
      <c r="AP37" s="63">
        <f>VLOOKUP(AP$25,'T3D-Report Tables'!$C$24:$D$28,2,FALSE)*AP26</f>
        <v>0</v>
      </c>
      <c r="AQ37" s="72">
        <f>SUMIF(AL37:AP37,"&lt;&gt;#N/A")</f>
        <v>0</v>
      </c>
      <c r="AS37" s="21" t="s">
        <v>89</v>
      </c>
      <c r="AT37" s="63">
        <f>VLOOKUP(AT$25,'T3D-Report Tables'!$C$24:$D$28,2,FALSE)*AT26</f>
        <v>0</v>
      </c>
      <c r="AU37" s="63">
        <f>VLOOKUP(AU$25,'T3D-Report Tables'!$C$24:$D$28,2,FALSE)*AU26</f>
        <v>0</v>
      </c>
      <c r="AV37" s="63">
        <f>VLOOKUP(AV$25,'T3D-Report Tables'!$C$24:$D$28,2,FALSE)*AV26</f>
        <v>0</v>
      </c>
      <c r="AW37" s="63">
        <f>VLOOKUP(AW$25,'T3D-Report Tables'!$C$24:$D$28,2,FALSE)*AW26</f>
        <v>0</v>
      </c>
      <c r="AX37" s="63">
        <f>VLOOKUP(AX$25,'T3D-Report Tables'!$C$24:$D$28,2,FALSE)*AX26</f>
        <v>0</v>
      </c>
      <c r="AY37" s="72">
        <f>SUMIF(AT37:AX37,"&lt;&gt;#N/A")</f>
        <v>0</v>
      </c>
      <c r="BA37" s="21" t="s">
        <v>89</v>
      </c>
      <c r="BB37" s="63">
        <f>VLOOKUP(BB$25,'T3D-Report Tables'!$C$24:$D$28,2,FALSE)*BB26</f>
        <v>0</v>
      </c>
      <c r="BC37" s="63">
        <f>VLOOKUP(BC$25,'T3D-Report Tables'!$C$24:$D$28,2,FALSE)*BC26</f>
        <v>0</v>
      </c>
      <c r="BD37" s="63">
        <f>VLOOKUP(BD$25,'T3D-Report Tables'!$C$24:$D$28,2,FALSE)*BD26</f>
        <v>0</v>
      </c>
      <c r="BE37" s="63">
        <f>VLOOKUP(BE$25,'T3D-Report Tables'!$C$24:$D$28,2,FALSE)*BE26</f>
        <v>0</v>
      </c>
      <c r="BF37" s="63">
        <f>VLOOKUP(BF$25,'T3D-Report Tables'!$C$24:$D$28,2,FALSE)*BF26</f>
        <v>0</v>
      </c>
      <c r="BG37" s="72">
        <f>SUMIF(BB37:BF37,"&lt;&gt;#N/A")</f>
        <v>0</v>
      </c>
      <c r="BI37" s="21" t="s">
        <v>89</v>
      </c>
      <c r="BJ37" s="63">
        <f>VLOOKUP(BJ$25,'T3D-Report Tables'!$C$24:$D$28,2,FALSE)*BJ26</f>
        <v>0</v>
      </c>
      <c r="BK37" s="63">
        <f>VLOOKUP(BK$25,'T3D-Report Tables'!$C$24:$D$28,2,FALSE)*BK26</f>
        <v>0</v>
      </c>
      <c r="BL37" s="63">
        <f>VLOOKUP(BL$25,'T3D-Report Tables'!$C$24:$D$28,2,FALSE)*BL26</f>
        <v>0</v>
      </c>
      <c r="BM37" s="63">
        <f>VLOOKUP(BM$25,'T3D-Report Tables'!$C$24:$D$28,2,FALSE)*BM26</f>
        <v>0</v>
      </c>
      <c r="BN37" s="63">
        <f>VLOOKUP(BN$25,'T3D-Report Tables'!$C$24:$D$28,2,FALSE)*BN26</f>
        <v>0</v>
      </c>
      <c r="BO37" s="72">
        <f>SUMIF(BJ37:BN37,"&lt;&gt;#N/A")</f>
        <v>0</v>
      </c>
      <c r="BQ37" s="21" t="s">
        <v>89</v>
      </c>
      <c r="BR37" s="63">
        <f>VLOOKUP(BR$25,'T3D-Report Tables'!$C$24:$D$28,2,FALSE)*BR26</f>
        <v>0</v>
      </c>
      <c r="BS37" s="63">
        <f>VLOOKUP(BS$25,'T3D-Report Tables'!$C$24:$D$28,2,FALSE)*BS26</f>
        <v>0</v>
      </c>
      <c r="BT37" s="63">
        <f>VLOOKUP(BT$25,'T3D-Report Tables'!$C$24:$D$28,2,FALSE)*BT26</f>
        <v>0</v>
      </c>
      <c r="BU37" s="63">
        <f>VLOOKUP(BU$25,'T3D-Report Tables'!$C$24:$D$28,2,FALSE)*BU26</f>
        <v>0</v>
      </c>
      <c r="BV37" s="63">
        <f>VLOOKUP(BV$25,'T3D-Report Tables'!$C$24:$D$28,2,FALSE)*BV26</f>
        <v>0</v>
      </c>
      <c r="BW37" s="72">
        <f>SUMIF(BR37:BV37,"&lt;&gt;#N/A")</f>
        <v>0</v>
      </c>
      <c r="BY37" s="21" t="s">
        <v>89</v>
      </c>
      <c r="BZ37" s="63">
        <f>VLOOKUP(BZ$25,'T3D-Report Tables'!$C$24:$D$28,2,FALSE)*BZ26</f>
        <v>0</v>
      </c>
      <c r="CA37" s="63">
        <f>VLOOKUP(CA$25,'T3D-Report Tables'!$C$24:$D$28,2,FALSE)*CA26</f>
        <v>0</v>
      </c>
      <c r="CB37" s="63">
        <f>VLOOKUP(CB$25,'T3D-Report Tables'!$C$24:$D$28,2,FALSE)*CB26</f>
        <v>0</v>
      </c>
      <c r="CC37" s="63">
        <f>VLOOKUP(CC$25,'T3D-Report Tables'!$C$24:$D$28,2,FALSE)*CC26</f>
        <v>0</v>
      </c>
      <c r="CD37" s="63">
        <f>VLOOKUP(CD$25,'T3D-Report Tables'!$C$24:$D$28,2,FALSE)*CD26</f>
        <v>0</v>
      </c>
      <c r="CE37" s="72">
        <f>SUMIF(BZ37:CD37,"&lt;&gt;#N/A")</f>
        <v>0</v>
      </c>
    </row>
    <row r="38" spans="2:83" x14ac:dyDescent="0.3">
      <c r="B38" s="21" t="s">
        <v>90</v>
      </c>
      <c r="C38" s="63">
        <f t="shared" ca="1" si="66"/>
        <v>0</v>
      </c>
      <c r="D38" s="63">
        <f t="shared" ca="1" si="66"/>
        <v>0</v>
      </c>
      <c r="E38" s="63">
        <f t="shared" ca="1" si="66"/>
        <v>0</v>
      </c>
      <c r="F38" s="63">
        <f t="shared" ca="1" si="66"/>
        <v>0</v>
      </c>
      <c r="G38" s="63">
        <f t="shared" ca="1" si="66"/>
        <v>0</v>
      </c>
      <c r="H38" s="63">
        <f t="shared" ca="1" si="66"/>
        <v>0</v>
      </c>
      <c r="I38" s="63">
        <f t="shared" ca="1" si="66"/>
        <v>0</v>
      </c>
      <c r="J38" s="63">
        <f t="shared" ca="1" si="66"/>
        <v>0</v>
      </c>
      <c r="K38" s="63">
        <f t="shared" ca="1" si="66"/>
        <v>0</v>
      </c>
      <c r="M38" s="21" t="s">
        <v>90</v>
      </c>
      <c r="N38" s="63">
        <f>VLOOKUP(N$25,'T3D-Report Tables'!$C$24:$D$28,2,FALSE)*N27</f>
        <v>0</v>
      </c>
      <c r="O38" s="63">
        <f>VLOOKUP(O$25,'T3D-Report Tables'!$C$24:$D$28,2,FALSE)*O27</f>
        <v>0</v>
      </c>
      <c r="P38" s="63">
        <f>VLOOKUP(P$25,'T3D-Report Tables'!$C$24:$D$28,2,FALSE)*P27</f>
        <v>0</v>
      </c>
      <c r="Q38" s="63">
        <f>VLOOKUP(Q$25,'T3D-Report Tables'!$C$24:$D$28,2,FALSE)*Q27</f>
        <v>0</v>
      </c>
      <c r="R38" s="63">
        <f>VLOOKUP(R$25,'T3D-Report Tables'!$C$24:$D$28,2,FALSE)*R27</f>
        <v>0</v>
      </c>
      <c r="S38" s="72">
        <f t="shared" ref="S38:S44" si="67">SUMIF(N38:R38,"&lt;&gt;#N/A")</f>
        <v>0</v>
      </c>
      <c r="U38" s="21" t="s">
        <v>90</v>
      </c>
      <c r="V38" s="63">
        <f>VLOOKUP(V$25,'T3D-Report Tables'!$C$24:$D$28,2,FALSE)*V27</f>
        <v>0</v>
      </c>
      <c r="W38" s="63">
        <f>VLOOKUP(W$25,'T3D-Report Tables'!$C$24:$D$28,2,FALSE)*W27</f>
        <v>0</v>
      </c>
      <c r="X38" s="63">
        <f>VLOOKUP(X$25,'T3D-Report Tables'!$C$24:$D$28,2,FALSE)*X27</f>
        <v>0</v>
      </c>
      <c r="Y38" s="63">
        <f>VLOOKUP(Y$25,'T3D-Report Tables'!$C$24:$D$28,2,FALSE)*Y27</f>
        <v>0</v>
      </c>
      <c r="Z38" s="63">
        <f>VLOOKUP(Z$25,'T3D-Report Tables'!$C$24:$D$28,2,FALSE)*Z27</f>
        <v>0</v>
      </c>
      <c r="AA38" s="72">
        <f t="shared" ref="AA38:AA44" si="68">SUMIF(V38:Z38,"&lt;&gt;#N/A")</f>
        <v>0</v>
      </c>
      <c r="AC38" s="21" t="s">
        <v>90</v>
      </c>
      <c r="AD38" s="63">
        <f>VLOOKUP(AD$25,'T3D-Report Tables'!$C$24:$D$28,2,FALSE)*AD27</f>
        <v>0</v>
      </c>
      <c r="AE38" s="63">
        <f>VLOOKUP(AE$25,'T3D-Report Tables'!$C$24:$D$28,2,FALSE)*AE27</f>
        <v>0</v>
      </c>
      <c r="AF38" s="63">
        <f>VLOOKUP(AF$25,'T3D-Report Tables'!$C$24:$D$28,2,FALSE)*AF27</f>
        <v>0</v>
      </c>
      <c r="AG38" s="63">
        <f>VLOOKUP(AG$25,'T3D-Report Tables'!$C$24:$D$28,2,FALSE)*AG27</f>
        <v>0</v>
      </c>
      <c r="AH38" s="63">
        <f>VLOOKUP(AH$25,'T3D-Report Tables'!$C$24:$D$28,2,FALSE)*AH27</f>
        <v>0</v>
      </c>
      <c r="AI38" s="72">
        <f t="shared" ref="AI38:AI44" si="69">SUMIF(AD38:AH38,"&lt;&gt;#N/A")</f>
        <v>0</v>
      </c>
      <c r="AK38" s="21" t="s">
        <v>90</v>
      </c>
      <c r="AL38" s="63">
        <f>VLOOKUP(AL$25,'T3D-Report Tables'!$C$24:$D$28,2,FALSE)*AL27</f>
        <v>0</v>
      </c>
      <c r="AM38" s="63">
        <f>VLOOKUP(AM$25,'T3D-Report Tables'!$C$24:$D$28,2,FALSE)*AM27</f>
        <v>0</v>
      </c>
      <c r="AN38" s="63">
        <f>VLOOKUP(AN$25,'T3D-Report Tables'!$C$24:$D$28,2,FALSE)*AN27</f>
        <v>0</v>
      </c>
      <c r="AO38" s="63">
        <f>VLOOKUP(AO$25,'T3D-Report Tables'!$C$24:$D$28,2,FALSE)*AO27</f>
        <v>0</v>
      </c>
      <c r="AP38" s="63">
        <f>VLOOKUP(AP$25,'T3D-Report Tables'!$C$24:$D$28,2,FALSE)*AP27</f>
        <v>0</v>
      </c>
      <c r="AQ38" s="72">
        <f t="shared" ref="AQ38:AQ44" si="70">SUMIF(AL38:AP38,"&lt;&gt;#N/A")</f>
        <v>0</v>
      </c>
      <c r="AS38" s="21" t="s">
        <v>90</v>
      </c>
      <c r="AT38" s="63">
        <f>VLOOKUP(AT$25,'T3D-Report Tables'!$C$24:$D$28,2,FALSE)*AT27</f>
        <v>0</v>
      </c>
      <c r="AU38" s="63">
        <f>VLOOKUP(AU$25,'T3D-Report Tables'!$C$24:$D$28,2,FALSE)*AU27</f>
        <v>0</v>
      </c>
      <c r="AV38" s="63">
        <f>VLOOKUP(AV$25,'T3D-Report Tables'!$C$24:$D$28,2,FALSE)*AV27</f>
        <v>0</v>
      </c>
      <c r="AW38" s="63">
        <f>VLOOKUP(AW$25,'T3D-Report Tables'!$C$24:$D$28,2,FALSE)*AW27</f>
        <v>0</v>
      </c>
      <c r="AX38" s="63">
        <f>VLOOKUP(AX$25,'T3D-Report Tables'!$C$24:$D$28,2,FALSE)*AX27</f>
        <v>0</v>
      </c>
      <c r="AY38" s="72">
        <f t="shared" ref="AY38:AY44" si="71">SUMIF(AT38:AX38,"&lt;&gt;#N/A")</f>
        <v>0</v>
      </c>
      <c r="BA38" s="21" t="s">
        <v>90</v>
      </c>
      <c r="BB38" s="63">
        <f>VLOOKUP(BB$25,'T3D-Report Tables'!$C$24:$D$28,2,FALSE)*BB27</f>
        <v>0</v>
      </c>
      <c r="BC38" s="63">
        <f>VLOOKUP(BC$25,'T3D-Report Tables'!$C$24:$D$28,2,FALSE)*BC27</f>
        <v>0</v>
      </c>
      <c r="BD38" s="63">
        <f>VLOOKUP(BD$25,'T3D-Report Tables'!$C$24:$D$28,2,FALSE)*BD27</f>
        <v>0</v>
      </c>
      <c r="BE38" s="63">
        <f>VLOOKUP(BE$25,'T3D-Report Tables'!$C$24:$D$28,2,FALSE)*BE27</f>
        <v>0</v>
      </c>
      <c r="BF38" s="63">
        <f>VLOOKUP(BF$25,'T3D-Report Tables'!$C$24:$D$28,2,FALSE)*BF27</f>
        <v>0</v>
      </c>
      <c r="BG38" s="72">
        <f t="shared" ref="BG38:BG44" si="72">SUMIF(BB38:BF38,"&lt;&gt;#N/A")</f>
        <v>0</v>
      </c>
      <c r="BI38" s="21" t="s">
        <v>90</v>
      </c>
      <c r="BJ38" s="63">
        <f>VLOOKUP(BJ$25,'T3D-Report Tables'!$C$24:$D$28,2,FALSE)*BJ27</f>
        <v>0</v>
      </c>
      <c r="BK38" s="63">
        <f>VLOOKUP(BK$25,'T3D-Report Tables'!$C$24:$D$28,2,FALSE)*BK27</f>
        <v>0</v>
      </c>
      <c r="BL38" s="63">
        <f>VLOOKUP(BL$25,'T3D-Report Tables'!$C$24:$D$28,2,FALSE)*BL27</f>
        <v>0</v>
      </c>
      <c r="BM38" s="63">
        <f>VLOOKUP(BM$25,'T3D-Report Tables'!$C$24:$D$28,2,FALSE)*BM27</f>
        <v>0</v>
      </c>
      <c r="BN38" s="63">
        <f>VLOOKUP(BN$25,'T3D-Report Tables'!$C$24:$D$28,2,FALSE)*BN27</f>
        <v>0</v>
      </c>
      <c r="BO38" s="72">
        <f t="shared" ref="BO38:BO44" si="73">SUMIF(BJ38:BN38,"&lt;&gt;#N/A")</f>
        <v>0</v>
      </c>
      <c r="BQ38" s="21" t="s">
        <v>90</v>
      </c>
      <c r="BR38" s="63">
        <f>VLOOKUP(BR$25,'T3D-Report Tables'!$C$24:$D$28,2,FALSE)*BR27</f>
        <v>0</v>
      </c>
      <c r="BS38" s="63">
        <f>VLOOKUP(BS$25,'T3D-Report Tables'!$C$24:$D$28,2,FALSE)*BS27</f>
        <v>0</v>
      </c>
      <c r="BT38" s="63">
        <f>VLOOKUP(BT$25,'T3D-Report Tables'!$C$24:$D$28,2,FALSE)*BT27</f>
        <v>0</v>
      </c>
      <c r="BU38" s="63">
        <f>VLOOKUP(BU$25,'T3D-Report Tables'!$C$24:$D$28,2,FALSE)*BU27</f>
        <v>0</v>
      </c>
      <c r="BV38" s="63">
        <f>VLOOKUP(BV$25,'T3D-Report Tables'!$C$24:$D$28,2,FALSE)*BV27</f>
        <v>0</v>
      </c>
      <c r="BW38" s="72">
        <f t="shared" ref="BW38:BW44" si="74">SUMIF(BR38:BV38,"&lt;&gt;#N/A")</f>
        <v>0</v>
      </c>
      <c r="BY38" s="21" t="s">
        <v>90</v>
      </c>
      <c r="BZ38" s="63">
        <f>VLOOKUP(BZ$25,'T3D-Report Tables'!$C$24:$D$28,2,FALSE)*BZ27</f>
        <v>0</v>
      </c>
      <c r="CA38" s="63">
        <f>VLOOKUP(CA$25,'T3D-Report Tables'!$C$24:$D$28,2,FALSE)*CA27</f>
        <v>0</v>
      </c>
      <c r="CB38" s="63">
        <f>VLOOKUP(CB$25,'T3D-Report Tables'!$C$24:$D$28,2,FALSE)*CB27</f>
        <v>0</v>
      </c>
      <c r="CC38" s="63">
        <f>VLOOKUP(CC$25,'T3D-Report Tables'!$C$24:$D$28,2,FALSE)*CC27</f>
        <v>0</v>
      </c>
      <c r="CD38" s="63">
        <f>VLOOKUP(CD$25,'T3D-Report Tables'!$C$24:$D$28,2,FALSE)*CD27</f>
        <v>0</v>
      </c>
      <c r="CE38" s="72">
        <f t="shared" ref="CE38:CE44" si="75">SUMIF(BZ38:CD38,"&lt;&gt;#N/A")</f>
        <v>0</v>
      </c>
    </row>
    <row r="39" spans="2:83" x14ac:dyDescent="0.3">
      <c r="B39" s="21" t="s">
        <v>91</v>
      </c>
      <c r="C39" s="63">
        <f t="shared" ca="1" si="66"/>
        <v>0</v>
      </c>
      <c r="D39" s="63">
        <f t="shared" ca="1" si="66"/>
        <v>0</v>
      </c>
      <c r="E39" s="63">
        <f t="shared" ca="1" si="66"/>
        <v>0</v>
      </c>
      <c r="F39" s="63">
        <f t="shared" ca="1" si="66"/>
        <v>0</v>
      </c>
      <c r="G39" s="63">
        <f t="shared" ca="1" si="66"/>
        <v>0</v>
      </c>
      <c r="H39" s="63">
        <f t="shared" ca="1" si="66"/>
        <v>0</v>
      </c>
      <c r="I39" s="63">
        <f t="shared" ca="1" si="66"/>
        <v>0</v>
      </c>
      <c r="J39" s="63">
        <f t="shared" ca="1" si="66"/>
        <v>0</v>
      </c>
      <c r="K39" s="63">
        <f t="shared" ca="1" si="66"/>
        <v>0</v>
      </c>
      <c r="M39" s="21" t="s">
        <v>91</v>
      </c>
      <c r="N39" s="63">
        <f>VLOOKUP(N$25,'T3D-Report Tables'!$C$24:$D$28,2,FALSE)*N28</f>
        <v>0</v>
      </c>
      <c r="O39" s="63">
        <f>VLOOKUP(O$25,'T3D-Report Tables'!$C$24:$D$28,2,FALSE)*O28</f>
        <v>0</v>
      </c>
      <c r="P39" s="63">
        <f>VLOOKUP(P$25,'T3D-Report Tables'!$C$24:$D$28,2,FALSE)*P28</f>
        <v>0</v>
      </c>
      <c r="Q39" s="63">
        <f>VLOOKUP(Q$25,'T3D-Report Tables'!$C$24:$D$28,2,FALSE)*Q28</f>
        <v>0</v>
      </c>
      <c r="R39" s="63">
        <f>VLOOKUP(R$25,'T3D-Report Tables'!$C$24:$D$28,2,FALSE)*R28</f>
        <v>0</v>
      </c>
      <c r="S39" s="72">
        <f t="shared" si="67"/>
        <v>0</v>
      </c>
      <c r="U39" s="21" t="s">
        <v>91</v>
      </c>
      <c r="V39" s="63">
        <f>VLOOKUP(V$25,'T3D-Report Tables'!$C$24:$D$28,2,FALSE)*V28</f>
        <v>0</v>
      </c>
      <c r="W39" s="63">
        <f>VLOOKUP(W$25,'T3D-Report Tables'!$C$24:$D$28,2,FALSE)*W28</f>
        <v>0</v>
      </c>
      <c r="X39" s="63">
        <f>VLOOKUP(X$25,'T3D-Report Tables'!$C$24:$D$28,2,FALSE)*X28</f>
        <v>0</v>
      </c>
      <c r="Y39" s="63">
        <f>VLOOKUP(Y$25,'T3D-Report Tables'!$C$24:$D$28,2,FALSE)*Y28</f>
        <v>0</v>
      </c>
      <c r="Z39" s="63">
        <f>VLOOKUP(Z$25,'T3D-Report Tables'!$C$24:$D$28,2,FALSE)*Z28</f>
        <v>0</v>
      </c>
      <c r="AA39" s="72">
        <f t="shared" si="68"/>
        <v>0</v>
      </c>
      <c r="AC39" s="21" t="s">
        <v>91</v>
      </c>
      <c r="AD39" s="63">
        <f>VLOOKUP(AD$25,'T3D-Report Tables'!$C$24:$D$28,2,FALSE)*AD28</f>
        <v>0</v>
      </c>
      <c r="AE39" s="63">
        <f>VLOOKUP(AE$25,'T3D-Report Tables'!$C$24:$D$28,2,FALSE)*AE28</f>
        <v>0</v>
      </c>
      <c r="AF39" s="63">
        <f>VLOOKUP(AF$25,'T3D-Report Tables'!$C$24:$D$28,2,FALSE)*AF28</f>
        <v>0</v>
      </c>
      <c r="AG39" s="63">
        <f>VLOOKUP(AG$25,'T3D-Report Tables'!$C$24:$D$28,2,FALSE)*AG28</f>
        <v>0</v>
      </c>
      <c r="AH39" s="63">
        <f>VLOOKUP(AH$25,'T3D-Report Tables'!$C$24:$D$28,2,FALSE)*AH28</f>
        <v>0</v>
      </c>
      <c r="AI39" s="72">
        <f t="shared" si="69"/>
        <v>0</v>
      </c>
      <c r="AK39" s="21" t="s">
        <v>91</v>
      </c>
      <c r="AL39" s="63">
        <f>VLOOKUP(AL$25,'T3D-Report Tables'!$C$24:$D$28,2,FALSE)*AL28</f>
        <v>0</v>
      </c>
      <c r="AM39" s="63">
        <f>VLOOKUP(AM$25,'T3D-Report Tables'!$C$24:$D$28,2,FALSE)*AM28</f>
        <v>0</v>
      </c>
      <c r="AN39" s="63">
        <f>VLOOKUP(AN$25,'T3D-Report Tables'!$C$24:$D$28,2,FALSE)*AN28</f>
        <v>0</v>
      </c>
      <c r="AO39" s="63">
        <f>VLOOKUP(AO$25,'T3D-Report Tables'!$C$24:$D$28,2,FALSE)*AO28</f>
        <v>0</v>
      </c>
      <c r="AP39" s="63">
        <f>VLOOKUP(AP$25,'T3D-Report Tables'!$C$24:$D$28,2,FALSE)*AP28</f>
        <v>0</v>
      </c>
      <c r="AQ39" s="72">
        <f t="shared" si="70"/>
        <v>0</v>
      </c>
      <c r="AS39" s="21" t="s">
        <v>91</v>
      </c>
      <c r="AT39" s="63">
        <f>VLOOKUP(AT$25,'T3D-Report Tables'!$C$24:$D$28,2,FALSE)*AT28</f>
        <v>0</v>
      </c>
      <c r="AU39" s="63">
        <f>VLOOKUP(AU$25,'T3D-Report Tables'!$C$24:$D$28,2,FALSE)*AU28</f>
        <v>0</v>
      </c>
      <c r="AV39" s="63">
        <f>VLOOKUP(AV$25,'T3D-Report Tables'!$C$24:$D$28,2,FALSE)*AV28</f>
        <v>0</v>
      </c>
      <c r="AW39" s="63">
        <f>VLOOKUP(AW$25,'T3D-Report Tables'!$C$24:$D$28,2,FALSE)*AW28</f>
        <v>0</v>
      </c>
      <c r="AX39" s="63">
        <f>VLOOKUP(AX$25,'T3D-Report Tables'!$C$24:$D$28,2,FALSE)*AX28</f>
        <v>0</v>
      </c>
      <c r="AY39" s="72">
        <f t="shared" si="71"/>
        <v>0</v>
      </c>
      <c r="BA39" s="21" t="s">
        <v>91</v>
      </c>
      <c r="BB39" s="63">
        <f>VLOOKUP(BB$25,'T3D-Report Tables'!$C$24:$D$28,2,FALSE)*BB28</f>
        <v>0</v>
      </c>
      <c r="BC39" s="63">
        <f>VLOOKUP(BC$25,'T3D-Report Tables'!$C$24:$D$28,2,FALSE)*BC28</f>
        <v>0</v>
      </c>
      <c r="BD39" s="63">
        <f>VLOOKUP(BD$25,'T3D-Report Tables'!$C$24:$D$28,2,FALSE)*BD28</f>
        <v>0</v>
      </c>
      <c r="BE39" s="63">
        <f>VLOOKUP(BE$25,'T3D-Report Tables'!$C$24:$D$28,2,FALSE)*BE28</f>
        <v>0</v>
      </c>
      <c r="BF39" s="63">
        <f>VLOOKUP(BF$25,'T3D-Report Tables'!$C$24:$D$28,2,FALSE)*BF28</f>
        <v>0</v>
      </c>
      <c r="BG39" s="72">
        <f t="shared" si="72"/>
        <v>0</v>
      </c>
      <c r="BI39" s="21" t="s">
        <v>91</v>
      </c>
      <c r="BJ39" s="63">
        <f>VLOOKUP(BJ$25,'T3D-Report Tables'!$C$24:$D$28,2,FALSE)*BJ28</f>
        <v>0</v>
      </c>
      <c r="BK39" s="63">
        <f>VLOOKUP(BK$25,'T3D-Report Tables'!$C$24:$D$28,2,FALSE)*BK28</f>
        <v>0</v>
      </c>
      <c r="BL39" s="63">
        <f>VLOOKUP(BL$25,'T3D-Report Tables'!$C$24:$D$28,2,FALSE)*BL28</f>
        <v>0</v>
      </c>
      <c r="BM39" s="63">
        <f>VLOOKUP(BM$25,'T3D-Report Tables'!$C$24:$D$28,2,FALSE)*BM28</f>
        <v>0</v>
      </c>
      <c r="BN39" s="63">
        <f>VLOOKUP(BN$25,'T3D-Report Tables'!$C$24:$D$28,2,FALSE)*BN28</f>
        <v>0</v>
      </c>
      <c r="BO39" s="72">
        <f t="shared" si="73"/>
        <v>0</v>
      </c>
      <c r="BQ39" s="21" t="s">
        <v>91</v>
      </c>
      <c r="BR39" s="63">
        <f>VLOOKUP(BR$25,'T3D-Report Tables'!$C$24:$D$28,2,FALSE)*BR28</f>
        <v>0</v>
      </c>
      <c r="BS39" s="63">
        <f>VLOOKUP(BS$25,'T3D-Report Tables'!$C$24:$D$28,2,FALSE)*BS28</f>
        <v>0</v>
      </c>
      <c r="BT39" s="63">
        <f>VLOOKUP(BT$25,'T3D-Report Tables'!$C$24:$D$28,2,FALSE)*BT28</f>
        <v>0</v>
      </c>
      <c r="BU39" s="63">
        <f>VLOOKUP(BU$25,'T3D-Report Tables'!$C$24:$D$28,2,FALSE)*BU28</f>
        <v>0</v>
      </c>
      <c r="BV39" s="63">
        <f>VLOOKUP(BV$25,'T3D-Report Tables'!$C$24:$D$28,2,FALSE)*BV28</f>
        <v>0</v>
      </c>
      <c r="BW39" s="72">
        <f t="shared" si="74"/>
        <v>0</v>
      </c>
      <c r="BY39" s="21" t="s">
        <v>91</v>
      </c>
      <c r="BZ39" s="63">
        <f>VLOOKUP(BZ$25,'T3D-Report Tables'!$C$24:$D$28,2,FALSE)*BZ28</f>
        <v>0</v>
      </c>
      <c r="CA39" s="63">
        <f>VLOOKUP(CA$25,'T3D-Report Tables'!$C$24:$D$28,2,FALSE)*CA28</f>
        <v>0</v>
      </c>
      <c r="CB39" s="63">
        <f>VLOOKUP(CB$25,'T3D-Report Tables'!$C$24:$D$28,2,FALSE)*CB28</f>
        <v>0</v>
      </c>
      <c r="CC39" s="63">
        <f>VLOOKUP(CC$25,'T3D-Report Tables'!$C$24:$D$28,2,FALSE)*CC28</f>
        <v>0</v>
      </c>
      <c r="CD39" s="63">
        <f>VLOOKUP(CD$25,'T3D-Report Tables'!$C$24:$D$28,2,FALSE)*CD28</f>
        <v>0</v>
      </c>
      <c r="CE39" s="72">
        <f t="shared" si="75"/>
        <v>0</v>
      </c>
    </row>
    <row r="40" spans="2:83" x14ac:dyDescent="0.3">
      <c r="B40" s="21" t="s">
        <v>103</v>
      </c>
      <c r="C40" s="63">
        <f t="shared" ca="1" si="66"/>
        <v>0</v>
      </c>
      <c r="D40" s="63">
        <f t="shared" ca="1" si="66"/>
        <v>0</v>
      </c>
      <c r="E40" s="63">
        <f t="shared" ca="1" si="66"/>
        <v>0</v>
      </c>
      <c r="F40" s="63">
        <f t="shared" ca="1" si="66"/>
        <v>0</v>
      </c>
      <c r="G40" s="63">
        <f t="shared" ca="1" si="66"/>
        <v>0</v>
      </c>
      <c r="H40" s="63">
        <f t="shared" ca="1" si="66"/>
        <v>0</v>
      </c>
      <c r="I40" s="63">
        <f t="shared" ca="1" si="66"/>
        <v>0</v>
      </c>
      <c r="J40" s="63">
        <f t="shared" ca="1" si="66"/>
        <v>0</v>
      </c>
      <c r="K40" s="63">
        <f t="shared" ca="1" si="66"/>
        <v>0</v>
      </c>
      <c r="M40" s="21" t="s">
        <v>103</v>
      </c>
      <c r="N40" s="63">
        <f>VLOOKUP(N$25,'T3D-Report Tables'!$C$24:$D$28,2,FALSE)*N29</f>
        <v>0</v>
      </c>
      <c r="O40" s="63">
        <f>VLOOKUP(O$25,'T3D-Report Tables'!$C$24:$D$28,2,FALSE)*O29</f>
        <v>0</v>
      </c>
      <c r="P40" s="63">
        <f>VLOOKUP(P$25,'T3D-Report Tables'!$C$24:$D$28,2,FALSE)*P29</f>
        <v>0</v>
      </c>
      <c r="Q40" s="63">
        <f>VLOOKUP(Q$25,'T3D-Report Tables'!$C$24:$D$28,2,FALSE)*Q29</f>
        <v>0</v>
      </c>
      <c r="R40" s="63">
        <f>VLOOKUP(R$25,'T3D-Report Tables'!$C$24:$D$28,2,FALSE)*R29</f>
        <v>0</v>
      </c>
      <c r="S40" s="72">
        <f t="shared" si="67"/>
        <v>0</v>
      </c>
      <c r="U40" s="21" t="s">
        <v>103</v>
      </c>
      <c r="V40" s="63">
        <f>VLOOKUP(V$25,'T3D-Report Tables'!$C$24:$D$28,2,FALSE)*V29</f>
        <v>0</v>
      </c>
      <c r="W40" s="63">
        <f>VLOOKUP(W$25,'T3D-Report Tables'!$C$24:$D$28,2,FALSE)*W29</f>
        <v>0</v>
      </c>
      <c r="X40" s="63">
        <f>VLOOKUP(X$25,'T3D-Report Tables'!$C$24:$D$28,2,FALSE)*X29</f>
        <v>0</v>
      </c>
      <c r="Y40" s="63">
        <f>VLOOKUP(Y$25,'T3D-Report Tables'!$C$24:$D$28,2,FALSE)*Y29</f>
        <v>0</v>
      </c>
      <c r="Z40" s="63">
        <f>VLOOKUP(Z$25,'T3D-Report Tables'!$C$24:$D$28,2,FALSE)*Z29</f>
        <v>0</v>
      </c>
      <c r="AA40" s="72">
        <f t="shared" si="68"/>
        <v>0</v>
      </c>
      <c r="AC40" s="21" t="s">
        <v>103</v>
      </c>
      <c r="AD40" s="63">
        <f>VLOOKUP(AD$25,'T3D-Report Tables'!$C$24:$D$28,2,FALSE)*AD29</f>
        <v>0</v>
      </c>
      <c r="AE40" s="63">
        <f>VLOOKUP(AE$25,'T3D-Report Tables'!$C$24:$D$28,2,FALSE)*AE29</f>
        <v>0</v>
      </c>
      <c r="AF40" s="63">
        <f>VLOOKUP(AF$25,'T3D-Report Tables'!$C$24:$D$28,2,FALSE)*AF29</f>
        <v>0</v>
      </c>
      <c r="AG40" s="63">
        <f>VLOOKUP(AG$25,'T3D-Report Tables'!$C$24:$D$28,2,FALSE)*AG29</f>
        <v>0</v>
      </c>
      <c r="AH40" s="63">
        <f>VLOOKUP(AH$25,'T3D-Report Tables'!$C$24:$D$28,2,FALSE)*AH29</f>
        <v>0</v>
      </c>
      <c r="AI40" s="72">
        <f t="shared" si="69"/>
        <v>0</v>
      </c>
      <c r="AK40" s="21" t="s">
        <v>103</v>
      </c>
      <c r="AL40" s="63">
        <f>VLOOKUP(AL$25,'T3D-Report Tables'!$C$24:$D$28,2,FALSE)*AL29</f>
        <v>0</v>
      </c>
      <c r="AM40" s="63">
        <f>VLOOKUP(AM$25,'T3D-Report Tables'!$C$24:$D$28,2,FALSE)*AM29</f>
        <v>0</v>
      </c>
      <c r="AN40" s="63">
        <f>VLOOKUP(AN$25,'T3D-Report Tables'!$C$24:$D$28,2,FALSE)*AN29</f>
        <v>0</v>
      </c>
      <c r="AO40" s="63">
        <f>VLOOKUP(AO$25,'T3D-Report Tables'!$C$24:$D$28,2,FALSE)*AO29</f>
        <v>0</v>
      </c>
      <c r="AP40" s="63">
        <f>VLOOKUP(AP$25,'T3D-Report Tables'!$C$24:$D$28,2,FALSE)*AP29</f>
        <v>0</v>
      </c>
      <c r="AQ40" s="72">
        <f t="shared" si="70"/>
        <v>0</v>
      </c>
      <c r="AS40" s="21" t="s">
        <v>103</v>
      </c>
      <c r="AT40" s="63">
        <f>VLOOKUP(AT$25,'T3D-Report Tables'!$C$24:$D$28,2,FALSE)*AT29</f>
        <v>0</v>
      </c>
      <c r="AU40" s="63">
        <f>VLOOKUP(AU$25,'T3D-Report Tables'!$C$24:$D$28,2,FALSE)*AU29</f>
        <v>0</v>
      </c>
      <c r="AV40" s="63">
        <f>VLOOKUP(AV$25,'T3D-Report Tables'!$C$24:$D$28,2,FALSE)*AV29</f>
        <v>0</v>
      </c>
      <c r="AW40" s="63">
        <f>VLOOKUP(AW$25,'T3D-Report Tables'!$C$24:$D$28,2,FALSE)*AW29</f>
        <v>0</v>
      </c>
      <c r="AX40" s="63">
        <f>VLOOKUP(AX$25,'T3D-Report Tables'!$C$24:$D$28,2,FALSE)*AX29</f>
        <v>0</v>
      </c>
      <c r="AY40" s="72">
        <f t="shared" si="71"/>
        <v>0</v>
      </c>
      <c r="BA40" s="21" t="s">
        <v>103</v>
      </c>
      <c r="BB40" s="63">
        <f>VLOOKUP(BB$25,'T3D-Report Tables'!$C$24:$D$28,2,FALSE)*BB29</f>
        <v>0</v>
      </c>
      <c r="BC40" s="63">
        <f>VLOOKUP(BC$25,'T3D-Report Tables'!$C$24:$D$28,2,FALSE)*BC29</f>
        <v>0</v>
      </c>
      <c r="BD40" s="63">
        <f>VLOOKUP(BD$25,'T3D-Report Tables'!$C$24:$D$28,2,FALSE)*BD29</f>
        <v>0</v>
      </c>
      <c r="BE40" s="63">
        <f>VLOOKUP(BE$25,'T3D-Report Tables'!$C$24:$D$28,2,FALSE)*BE29</f>
        <v>0</v>
      </c>
      <c r="BF40" s="63">
        <f>VLOOKUP(BF$25,'T3D-Report Tables'!$C$24:$D$28,2,FALSE)*BF29</f>
        <v>0</v>
      </c>
      <c r="BG40" s="72">
        <f t="shared" si="72"/>
        <v>0</v>
      </c>
      <c r="BI40" s="21" t="s">
        <v>103</v>
      </c>
      <c r="BJ40" s="63">
        <f>VLOOKUP(BJ$25,'T3D-Report Tables'!$C$24:$D$28,2,FALSE)*BJ29</f>
        <v>0</v>
      </c>
      <c r="BK40" s="63">
        <f>VLOOKUP(BK$25,'T3D-Report Tables'!$C$24:$D$28,2,FALSE)*BK29</f>
        <v>0</v>
      </c>
      <c r="BL40" s="63">
        <f>VLOOKUP(BL$25,'T3D-Report Tables'!$C$24:$D$28,2,FALSE)*BL29</f>
        <v>0</v>
      </c>
      <c r="BM40" s="63">
        <f>VLOOKUP(BM$25,'T3D-Report Tables'!$C$24:$D$28,2,FALSE)*BM29</f>
        <v>0</v>
      </c>
      <c r="BN40" s="63">
        <f>VLOOKUP(BN$25,'T3D-Report Tables'!$C$24:$D$28,2,FALSE)*BN29</f>
        <v>0</v>
      </c>
      <c r="BO40" s="72">
        <f t="shared" si="73"/>
        <v>0</v>
      </c>
      <c r="BQ40" s="21" t="s">
        <v>103</v>
      </c>
      <c r="BR40" s="63">
        <f>VLOOKUP(BR$25,'T3D-Report Tables'!$C$24:$D$28,2,FALSE)*BR29</f>
        <v>0</v>
      </c>
      <c r="BS40" s="63">
        <f>VLOOKUP(BS$25,'T3D-Report Tables'!$C$24:$D$28,2,FALSE)*BS29</f>
        <v>0</v>
      </c>
      <c r="BT40" s="63">
        <f>VLOOKUP(BT$25,'T3D-Report Tables'!$C$24:$D$28,2,FALSE)*BT29</f>
        <v>0</v>
      </c>
      <c r="BU40" s="63">
        <f>VLOOKUP(BU$25,'T3D-Report Tables'!$C$24:$D$28,2,FALSE)*BU29</f>
        <v>0</v>
      </c>
      <c r="BV40" s="63">
        <f>VLOOKUP(BV$25,'T3D-Report Tables'!$C$24:$D$28,2,FALSE)*BV29</f>
        <v>0</v>
      </c>
      <c r="BW40" s="72">
        <f t="shared" si="74"/>
        <v>0</v>
      </c>
      <c r="BY40" s="21" t="s">
        <v>103</v>
      </c>
      <c r="BZ40" s="63">
        <f>VLOOKUP(BZ$25,'T3D-Report Tables'!$C$24:$D$28,2,FALSE)*BZ29</f>
        <v>0</v>
      </c>
      <c r="CA40" s="63">
        <f>VLOOKUP(CA$25,'T3D-Report Tables'!$C$24:$D$28,2,FALSE)*CA29</f>
        <v>0</v>
      </c>
      <c r="CB40" s="63">
        <f>VLOOKUP(CB$25,'T3D-Report Tables'!$C$24:$D$28,2,FALSE)*CB29</f>
        <v>0</v>
      </c>
      <c r="CC40" s="63">
        <f>VLOOKUP(CC$25,'T3D-Report Tables'!$C$24:$D$28,2,FALSE)*CC29</f>
        <v>0</v>
      </c>
      <c r="CD40" s="63">
        <f>VLOOKUP(CD$25,'T3D-Report Tables'!$C$24:$D$28,2,FALSE)*CD29</f>
        <v>0</v>
      </c>
      <c r="CE40" s="72">
        <f t="shared" si="75"/>
        <v>0</v>
      </c>
    </row>
    <row r="41" spans="2:83" x14ac:dyDescent="0.3">
      <c r="B41" s="21" t="s">
        <v>102</v>
      </c>
      <c r="C41" s="63">
        <f t="shared" ca="1" si="66"/>
        <v>0</v>
      </c>
      <c r="D41" s="63">
        <f t="shared" ca="1" si="66"/>
        <v>0</v>
      </c>
      <c r="E41" s="63">
        <f t="shared" ca="1" si="66"/>
        <v>0</v>
      </c>
      <c r="F41" s="63">
        <f t="shared" ca="1" si="66"/>
        <v>0</v>
      </c>
      <c r="G41" s="63">
        <f t="shared" ca="1" si="66"/>
        <v>0</v>
      </c>
      <c r="H41" s="63">
        <f t="shared" ca="1" si="66"/>
        <v>0</v>
      </c>
      <c r="I41" s="63">
        <f t="shared" ca="1" si="66"/>
        <v>0</v>
      </c>
      <c r="J41" s="63">
        <f t="shared" ca="1" si="66"/>
        <v>0</v>
      </c>
      <c r="K41" s="63">
        <f t="shared" ca="1" si="66"/>
        <v>0</v>
      </c>
      <c r="M41" s="21" t="s">
        <v>102</v>
      </c>
      <c r="N41" s="63">
        <f>VLOOKUP(N$25,'T3D-Report Tables'!$C$24:$D$28,2,FALSE)*N30</f>
        <v>0</v>
      </c>
      <c r="O41" s="63">
        <f>VLOOKUP(O$25,'T3D-Report Tables'!$C$24:$D$28,2,FALSE)*O30</f>
        <v>0</v>
      </c>
      <c r="P41" s="63">
        <f>VLOOKUP(P$25,'T3D-Report Tables'!$C$24:$D$28,2,FALSE)*P30</f>
        <v>0</v>
      </c>
      <c r="Q41" s="63">
        <f>VLOOKUP(Q$25,'T3D-Report Tables'!$C$24:$D$28,2,FALSE)*Q30</f>
        <v>0</v>
      </c>
      <c r="R41" s="63">
        <f>VLOOKUP(R$25,'T3D-Report Tables'!$C$24:$D$28,2,FALSE)*R30</f>
        <v>0</v>
      </c>
      <c r="S41" s="72">
        <f t="shared" si="67"/>
        <v>0</v>
      </c>
      <c r="U41" s="21" t="s">
        <v>102</v>
      </c>
      <c r="V41" s="63">
        <f>VLOOKUP(V$25,'T3D-Report Tables'!$C$24:$D$28,2,FALSE)*V30</f>
        <v>0</v>
      </c>
      <c r="W41" s="63">
        <f>VLOOKUP(W$25,'T3D-Report Tables'!$C$24:$D$28,2,FALSE)*W30</f>
        <v>0</v>
      </c>
      <c r="X41" s="63">
        <f>VLOOKUP(X$25,'T3D-Report Tables'!$C$24:$D$28,2,FALSE)*X30</f>
        <v>0</v>
      </c>
      <c r="Y41" s="63">
        <f>VLOOKUP(Y$25,'T3D-Report Tables'!$C$24:$D$28,2,FALSE)*Y30</f>
        <v>0</v>
      </c>
      <c r="Z41" s="63">
        <f>VLOOKUP(Z$25,'T3D-Report Tables'!$C$24:$D$28,2,FALSE)*Z30</f>
        <v>0</v>
      </c>
      <c r="AA41" s="72">
        <f t="shared" si="68"/>
        <v>0</v>
      </c>
      <c r="AC41" s="21" t="s">
        <v>102</v>
      </c>
      <c r="AD41" s="63">
        <f>VLOOKUP(AD$25,'T3D-Report Tables'!$C$24:$D$28,2,FALSE)*AD30</f>
        <v>0</v>
      </c>
      <c r="AE41" s="63">
        <f>VLOOKUP(AE$25,'T3D-Report Tables'!$C$24:$D$28,2,FALSE)*AE30</f>
        <v>0</v>
      </c>
      <c r="AF41" s="63">
        <f>VLOOKUP(AF$25,'T3D-Report Tables'!$C$24:$D$28,2,FALSE)*AF30</f>
        <v>0</v>
      </c>
      <c r="AG41" s="63">
        <f>VLOOKUP(AG$25,'T3D-Report Tables'!$C$24:$D$28,2,FALSE)*AG30</f>
        <v>0</v>
      </c>
      <c r="AH41" s="63">
        <f>VLOOKUP(AH$25,'T3D-Report Tables'!$C$24:$D$28,2,FALSE)*AH30</f>
        <v>0</v>
      </c>
      <c r="AI41" s="72">
        <f t="shared" si="69"/>
        <v>0</v>
      </c>
      <c r="AK41" s="21" t="s">
        <v>102</v>
      </c>
      <c r="AL41" s="63">
        <f>VLOOKUP(AL$25,'T3D-Report Tables'!$C$24:$D$28,2,FALSE)*AL30</f>
        <v>0</v>
      </c>
      <c r="AM41" s="63">
        <f>VLOOKUP(AM$25,'T3D-Report Tables'!$C$24:$D$28,2,FALSE)*AM30</f>
        <v>0</v>
      </c>
      <c r="AN41" s="63">
        <f>VLOOKUP(AN$25,'T3D-Report Tables'!$C$24:$D$28,2,FALSE)*AN30</f>
        <v>0</v>
      </c>
      <c r="AO41" s="63">
        <f>VLOOKUP(AO$25,'T3D-Report Tables'!$C$24:$D$28,2,FALSE)*AO30</f>
        <v>0</v>
      </c>
      <c r="AP41" s="63">
        <f>VLOOKUP(AP$25,'T3D-Report Tables'!$C$24:$D$28,2,FALSE)*AP30</f>
        <v>0</v>
      </c>
      <c r="AQ41" s="72">
        <f t="shared" si="70"/>
        <v>0</v>
      </c>
      <c r="AS41" s="21" t="s">
        <v>102</v>
      </c>
      <c r="AT41" s="63">
        <f>VLOOKUP(AT$25,'T3D-Report Tables'!$C$24:$D$28,2,FALSE)*AT30</f>
        <v>0</v>
      </c>
      <c r="AU41" s="63">
        <f>VLOOKUP(AU$25,'T3D-Report Tables'!$C$24:$D$28,2,FALSE)*AU30</f>
        <v>0</v>
      </c>
      <c r="AV41" s="63">
        <f>VLOOKUP(AV$25,'T3D-Report Tables'!$C$24:$D$28,2,FALSE)*AV30</f>
        <v>0</v>
      </c>
      <c r="AW41" s="63">
        <f>VLOOKUP(AW$25,'T3D-Report Tables'!$C$24:$D$28,2,FALSE)*AW30</f>
        <v>0</v>
      </c>
      <c r="AX41" s="63">
        <f>VLOOKUP(AX$25,'T3D-Report Tables'!$C$24:$D$28,2,FALSE)*AX30</f>
        <v>0</v>
      </c>
      <c r="AY41" s="72">
        <f t="shared" si="71"/>
        <v>0</v>
      </c>
      <c r="BA41" s="21" t="s">
        <v>102</v>
      </c>
      <c r="BB41" s="63">
        <f>VLOOKUP(BB$25,'T3D-Report Tables'!$C$24:$D$28,2,FALSE)*BB30</f>
        <v>0</v>
      </c>
      <c r="BC41" s="63">
        <f>VLOOKUP(BC$25,'T3D-Report Tables'!$C$24:$D$28,2,FALSE)*BC30</f>
        <v>0</v>
      </c>
      <c r="BD41" s="63">
        <f>VLOOKUP(BD$25,'T3D-Report Tables'!$C$24:$D$28,2,FALSE)*BD30</f>
        <v>0</v>
      </c>
      <c r="BE41" s="63">
        <f>VLOOKUP(BE$25,'T3D-Report Tables'!$C$24:$D$28,2,FALSE)*BE30</f>
        <v>0</v>
      </c>
      <c r="BF41" s="63">
        <f>VLOOKUP(BF$25,'T3D-Report Tables'!$C$24:$D$28,2,FALSE)*BF30</f>
        <v>0</v>
      </c>
      <c r="BG41" s="72">
        <f t="shared" si="72"/>
        <v>0</v>
      </c>
      <c r="BI41" s="21" t="s">
        <v>102</v>
      </c>
      <c r="BJ41" s="63">
        <f>VLOOKUP(BJ$25,'T3D-Report Tables'!$C$24:$D$28,2,FALSE)*BJ30</f>
        <v>0</v>
      </c>
      <c r="BK41" s="63">
        <f>VLOOKUP(BK$25,'T3D-Report Tables'!$C$24:$D$28,2,FALSE)*BK30</f>
        <v>0</v>
      </c>
      <c r="BL41" s="63">
        <f>VLOOKUP(BL$25,'T3D-Report Tables'!$C$24:$D$28,2,FALSE)*BL30</f>
        <v>0</v>
      </c>
      <c r="BM41" s="63">
        <f>VLOOKUP(BM$25,'T3D-Report Tables'!$C$24:$D$28,2,FALSE)*BM30</f>
        <v>0</v>
      </c>
      <c r="BN41" s="63">
        <f>VLOOKUP(BN$25,'T3D-Report Tables'!$C$24:$D$28,2,FALSE)*BN30</f>
        <v>0</v>
      </c>
      <c r="BO41" s="72">
        <f t="shared" si="73"/>
        <v>0</v>
      </c>
      <c r="BQ41" s="21" t="s">
        <v>102</v>
      </c>
      <c r="BR41" s="63">
        <f>VLOOKUP(BR$25,'T3D-Report Tables'!$C$24:$D$28,2,FALSE)*BR30</f>
        <v>0</v>
      </c>
      <c r="BS41" s="63">
        <f>VLOOKUP(BS$25,'T3D-Report Tables'!$C$24:$D$28,2,FALSE)*BS30</f>
        <v>0</v>
      </c>
      <c r="BT41" s="63">
        <f>VLOOKUP(BT$25,'T3D-Report Tables'!$C$24:$D$28,2,FALSE)*BT30</f>
        <v>0</v>
      </c>
      <c r="BU41" s="63">
        <f>VLOOKUP(BU$25,'T3D-Report Tables'!$C$24:$D$28,2,FALSE)*BU30</f>
        <v>0</v>
      </c>
      <c r="BV41" s="63">
        <f>VLOOKUP(BV$25,'T3D-Report Tables'!$C$24:$D$28,2,FALSE)*BV30</f>
        <v>0</v>
      </c>
      <c r="BW41" s="72">
        <f t="shared" si="74"/>
        <v>0</v>
      </c>
      <c r="BY41" s="21" t="s">
        <v>102</v>
      </c>
      <c r="BZ41" s="63">
        <f>VLOOKUP(BZ$25,'T3D-Report Tables'!$C$24:$D$28,2,FALSE)*BZ30</f>
        <v>0</v>
      </c>
      <c r="CA41" s="63">
        <f>VLOOKUP(CA$25,'T3D-Report Tables'!$C$24:$D$28,2,FALSE)*CA30</f>
        <v>0</v>
      </c>
      <c r="CB41" s="63">
        <f>VLOOKUP(CB$25,'T3D-Report Tables'!$C$24:$D$28,2,FALSE)*CB30</f>
        <v>0</v>
      </c>
      <c r="CC41" s="63">
        <f>VLOOKUP(CC$25,'T3D-Report Tables'!$C$24:$D$28,2,FALSE)*CC30</f>
        <v>0</v>
      </c>
      <c r="CD41" s="63">
        <f>VLOOKUP(CD$25,'T3D-Report Tables'!$C$24:$D$28,2,FALSE)*CD30</f>
        <v>0</v>
      </c>
      <c r="CE41" s="72">
        <f t="shared" si="75"/>
        <v>0</v>
      </c>
    </row>
    <row r="42" spans="2:83" x14ac:dyDescent="0.3">
      <c r="B42" s="21" t="s">
        <v>117</v>
      </c>
      <c r="C42" s="63">
        <f t="shared" ca="1" si="66"/>
        <v>0</v>
      </c>
      <c r="D42" s="63">
        <f t="shared" ca="1" si="66"/>
        <v>0</v>
      </c>
      <c r="E42" s="63">
        <f t="shared" ca="1" si="66"/>
        <v>0</v>
      </c>
      <c r="F42" s="63">
        <f t="shared" ca="1" si="66"/>
        <v>0</v>
      </c>
      <c r="G42" s="63">
        <f t="shared" ca="1" si="66"/>
        <v>0</v>
      </c>
      <c r="H42" s="63">
        <f t="shared" ca="1" si="66"/>
        <v>0</v>
      </c>
      <c r="I42" s="63">
        <f t="shared" ca="1" si="66"/>
        <v>0</v>
      </c>
      <c r="J42" s="63">
        <f t="shared" ca="1" si="66"/>
        <v>0</v>
      </c>
      <c r="K42" s="63">
        <f t="shared" ca="1" si="66"/>
        <v>0</v>
      </c>
      <c r="M42" s="21" t="s">
        <v>117</v>
      </c>
      <c r="N42" s="63">
        <f>VLOOKUP(N$25,'T3D-Report Tables'!$C$24:$D$28,2,FALSE)*N31</f>
        <v>0</v>
      </c>
      <c r="O42" s="63">
        <f>VLOOKUP(O$25,'T3D-Report Tables'!$C$24:$D$28,2,FALSE)*O31</f>
        <v>0</v>
      </c>
      <c r="P42" s="63">
        <f>VLOOKUP(P$25,'T3D-Report Tables'!$C$24:$D$28,2,FALSE)*P31</f>
        <v>0</v>
      </c>
      <c r="Q42" s="63">
        <f>VLOOKUP(Q$25,'T3D-Report Tables'!$C$24:$D$28,2,FALSE)*Q31</f>
        <v>0</v>
      </c>
      <c r="R42" s="63">
        <f>VLOOKUP(R$25,'T3D-Report Tables'!$C$24:$D$28,2,FALSE)*R31</f>
        <v>0</v>
      </c>
      <c r="S42" s="72">
        <f t="shared" si="67"/>
        <v>0</v>
      </c>
      <c r="U42" s="21" t="s">
        <v>117</v>
      </c>
      <c r="V42" s="63">
        <f>VLOOKUP(V$25,'T3D-Report Tables'!$C$24:$D$28,2,FALSE)*V31</f>
        <v>0</v>
      </c>
      <c r="W42" s="63">
        <f>VLOOKUP(W$25,'T3D-Report Tables'!$C$24:$D$28,2,FALSE)*W31</f>
        <v>0</v>
      </c>
      <c r="X42" s="63">
        <f>VLOOKUP(X$25,'T3D-Report Tables'!$C$24:$D$28,2,FALSE)*X31</f>
        <v>0</v>
      </c>
      <c r="Y42" s="63">
        <f>VLOOKUP(Y$25,'T3D-Report Tables'!$C$24:$D$28,2,FALSE)*Y31</f>
        <v>0</v>
      </c>
      <c r="Z42" s="63">
        <f>VLOOKUP(Z$25,'T3D-Report Tables'!$C$24:$D$28,2,FALSE)*Z31</f>
        <v>0</v>
      </c>
      <c r="AA42" s="72">
        <f t="shared" si="68"/>
        <v>0</v>
      </c>
      <c r="AC42" s="21" t="s">
        <v>117</v>
      </c>
      <c r="AD42" s="63">
        <f>VLOOKUP(AD$25,'T3D-Report Tables'!$C$24:$D$28,2,FALSE)*AD31</f>
        <v>0</v>
      </c>
      <c r="AE42" s="63">
        <f>VLOOKUP(AE$25,'T3D-Report Tables'!$C$24:$D$28,2,FALSE)*AE31</f>
        <v>0</v>
      </c>
      <c r="AF42" s="63">
        <f>VLOOKUP(AF$25,'T3D-Report Tables'!$C$24:$D$28,2,FALSE)*AF31</f>
        <v>0</v>
      </c>
      <c r="AG42" s="63">
        <f>VLOOKUP(AG$25,'T3D-Report Tables'!$C$24:$D$28,2,FALSE)*AG31</f>
        <v>0</v>
      </c>
      <c r="AH42" s="63">
        <f>VLOOKUP(AH$25,'T3D-Report Tables'!$C$24:$D$28,2,FALSE)*AH31</f>
        <v>0</v>
      </c>
      <c r="AI42" s="72">
        <f t="shared" si="69"/>
        <v>0</v>
      </c>
      <c r="AK42" s="21" t="s">
        <v>117</v>
      </c>
      <c r="AL42" s="63">
        <f>VLOOKUP(AL$25,'T3D-Report Tables'!$C$24:$D$28,2,FALSE)*AL31</f>
        <v>0</v>
      </c>
      <c r="AM42" s="63">
        <f>VLOOKUP(AM$25,'T3D-Report Tables'!$C$24:$D$28,2,FALSE)*AM31</f>
        <v>0</v>
      </c>
      <c r="AN42" s="63">
        <f>VLOOKUP(AN$25,'T3D-Report Tables'!$C$24:$D$28,2,FALSE)*AN31</f>
        <v>0</v>
      </c>
      <c r="AO42" s="63">
        <f>VLOOKUP(AO$25,'T3D-Report Tables'!$C$24:$D$28,2,FALSE)*AO31</f>
        <v>0</v>
      </c>
      <c r="AP42" s="63">
        <f>VLOOKUP(AP$25,'T3D-Report Tables'!$C$24:$D$28,2,FALSE)*AP31</f>
        <v>0</v>
      </c>
      <c r="AQ42" s="72">
        <f t="shared" si="70"/>
        <v>0</v>
      </c>
      <c r="AS42" s="21" t="s">
        <v>117</v>
      </c>
      <c r="AT42" s="63">
        <f>VLOOKUP(AT$25,'T3D-Report Tables'!$C$24:$D$28,2,FALSE)*AT31</f>
        <v>0</v>
      </c>
      <c r="AU42" s="63">
        <f>VLOOKUP(AU$25,'T3D-Report Tables'!$C$24:$D$28,2,FALSE)*AU31</f>
        <v>0</v>
      </c>
      <c r="AV42" s="63">
        <f>VLOOKUP(AV$25,'T3D-Report Tables'!$C$24:$D$28,2,FALSE)*AV31</f>
        <v>0</v>
      </c>
      <c r="AW42" s="63">
        <f>VLOOKUP(AW$25,'T3D-Report Tables'!$C$24:$D$28,2,FALSE)*AW31</f>
        <v>0</v>
      </c>
      <c r="AX42" s="63">
        <f>VLOOKUP(AX$25,'T3D-Report Tables'!$C$24:$D$28,2,FALSE)*AX31</f>
        <v>0</v>
      </c>
      <c r="AY42" s="72">
        <f t="shared" si="71"/>
        <v>0</v>
      </c>
      <c r="BA42" s="21" t="s">
        <v>117</v>
      </c>
      <c r="BB42" s="63">
        <f>VLOOKUP(BB$25,'T3D-Report Tables'!$C$24:$D$28,2,FALSE)*BB31</f>
        <v>0</v>
      </c>
      <c r="BC42" s="63">
        <f>VLOOKUP(BC$25,'T3D-Report Tables'!$C$24:$D$28,2,FALSE)*BC31</f>
        <v>0</v>
      </c>
      <c r="BD42" s="63">
        <f>VLOOKUP(BD$25,'T3D-Report Tables'!$C$24:$D$28,2,FALSE)*BD31</f>
        <v>0</v>
      </c>
      <c r="BE42" s="63">
        <f>VLOOKUP(BE$25,'T3D-Report Tables'!$C$24:$D$28,2,FALSE)*BE31</f>
        <v>0</v>
      </c>
      <c r="BF42" s="63">
        <f>VLOOKUP(BF$25,'T3D-Report Tables'!$C$24:$D$28,2,FALSE)*BF31</f>
        <v>0</v>
      </c>
      <c r="BG42" s="72">
        <f t="shared" si="72"/>
        <v>0</v>
      </c>
      <c r="BI42" s="21" t="s">
        <v>117</v>
      </c>
      <c r="BJ42" s="63">
        <f>VLOOKUP(BJ$25,'T3D-Report Tables'!$C$24:$D$28,2,FALSE)*BJ31</f>
        <v>0</v>
      </c>
      <c r="BK42" s="63">
        <f>VLOOKUP(BK$25,'T3D-Report Tables'!$C$24:$D$28,2,FALSE)*BK31</f>
        <v>0</v>
      </c>
      <c r="BL42" s="63">
        <f>VLOOKUP(BL$25,'T3D-Report Tables'!$C$24:$D$28,2,FALSE)*BL31</f>
        <v>0</v>
      </c>
      <c r="BM42" s="63">
        <f>VLOOKUP(BM$25,'T3D-Report Tables'!$C$24:$D$28,2,FALSE)*BM31</f>
        <v>0</v>
      </c>
      <c r="BN42" s="63">
        <f>VLOOKUP(BN$25,'T3D-Report Tables'!$C$24:$D$28,2,FALSE)*BN31</f>
        <v>0</v>
      </c>
      <c r="BO42" s="72">
        <f t="shared" si="73"/>
        <v>0</v>
      </c>
      <c r="BQ42" s="21" t="s">
        <v>117</v>
      </c>
      <c r="BR42" s="63">
        <f>VLOOKUP(BR$25,'T3D-Report Tables'!$C$24:$D$28,2,FALSE)*BR31</f>
        <v>0</v>
      </c>
      <c r="BS42" s="63">
        <f>VLOOKUP(BS$25,'T3D-Report Tables'!$C$24:$D$28,2,FALSE)*BS31</f>
        <v>0</v>
      </c>
      <c r="BT42" s="63">
        <f>VLOOKUP(BT$25,'T3D-Report Tables'!$C$24:$D$28,2,FALSE)*BT31</f>
        <v>0</v>
      </c>
      <c r="BU42" s="63">
        <f>VLOOKUP(BU$25,'T3D-Report Tables'!$C$24:$D$28,2,FALSE)*BU31</f>
        <v>0</v>
      </c>
      <c r="BV42" s="63">
        <f>VLOOKUP(BV$25,'T3D-Report Tables'!$C$24:$D$28,2,FALSE)*BV31</f>
        <v>0</v>
      </c>
      <c r="BW42" s="72">
        <f t="shared" si="74"/>
        <v>0</v>
      </c>
      <c r="BY42" s="21" t="s">
        <v>117</v>
      </c>
      <c r="BZ42" s="63">
        <f>VLOOKUP(BZ$25,'T3D-Report Tables'!$C$24:$D$28,2,FALSE)*BZ31</f>
        <v>0</v>
      </c>
      <c r="CA42" s="63">
        <f>VLOOKUP(CA$25,'T3D-Report Tables'!$C$24:$D$28,2,FALSE)*CA31</f>
        <v>0</v>
      </c>
      <c r="CB42" s="63">
        <f>VLOOKUP(CB$25,'T3D-Report Tables'!$C$24:$D$28,2,FALSE)*CB31</f>
        <v>0</v>
      </c>
      <c r="CC42" s="63">
        <f>VLOOKUP(CC$25,'T3D-Report Tables'!$C$24:$D$28,2,FALSE)*CC31</f>
        <v>0</v>
      </c>
      <c r="CD42" s="63">
        <f>VLOOKUP(CD$25,'T3D-Report Tables'!$C$24:$D$28,2,FALSE)*CD31</f>
        <v>0</v>
      </c>
      <c r="CE42" s="72">
        <f t="shared" si="75"/>
        <v>0</v>
      </c>
    </row>
    <row r="43" spans="2:83" x14ac:dyDescent="0.3">
      <c r="B43" s="21" t="s">
        <v>95</v>
      </c>
      <c r="C43" s="63">
        <f t="shared" ca="1" si="66"/>
        <v>0</v>
      </c>
      <c r="D43" s="63">
        <f t="shared" ca="1" si="66"/>
        <v>0</v>
      </c>
      <c r="E43" s="63">
        <f t="shared" ca="1" si="66"/>
        <v>0</v>
      </c>
      <c r="F43" s="63">
        <f t="shared" ca="1" si="66"/>
        <v>0</v>
      </c>
      <c r="G43" s="63">
        <f t="shared" ca="1" si="66"/>
        <v>0</v>
      </c>
      <c r="H43" s="63">
        <f t="shared" ca="1" si="66"/>
        <v>0</v>
      </c>
      <c r="I43" s="63">
        <f t="shared" ca="1" si="66"/>
        <v>0</v>
      </c>
      <c r="J43" s="63">
        <f t="shared" ca="1" si="66"/>
        <v>0</v>
      </c>
      <c r="K43" s="63">
        <f t="shared" ca="1" si="66"/>
        <v>0</v>
      </c>
      <c r="M43" s="21" t="s">
        <v>95</v>
      </c>
      <c r="N43" s="63">
        <f>VLOOKUP(N$25,'T3D-Report Tables'!$C$24:$D$28,2,FALSE)*N32</f>
        <v>0</v>
      </c>
      <c r="O43" s="63">
        <f>VLOOKUP(O$25,'T3D-Report Tables'!$C$24:$D$28,2,FALSE)*O32</f>
        <v>0</v>
      </c>
      <c r="P43" s="63">
        <f>VLOOKUP(P$25,'T3D-Report Tables'!$C$24:$D$28,2,FALSE)*P32</f>
        <v>0</v>
      </c>
      <c r="Q43" s="63">
        <f>VLOOKUP(Q$25,'T3D-Report Tables'!$C$24:$D$28,2,FALSE)*Q32</f>
        <v>0</v>
      </c>
      <c r="R43" s="63">
        <f>VLOOKUP(R$25,'T3D-Report Tables'!$C$24:$D$28,2,FALSE)*R32</f>
        <v>0</v>
      </c>
      <c r="S43" s="72">
        <f t="shared" si="67"/>
        <v>0</v>
      </c>
      <c r="U43" s="21" t="s">
        <v>95</v>
      </c>
      <c r="V43" s="63">
        <f>VLOOKUP(V$25,'T3D-Report Tables'!$C$24:$D$28,2,FALSE)*V32</f>
        <v>0</v>
      </c>
      <c r="W43" s="63">
        <f>VLOOKUP(W$25,'T3D-Report Tables'!$C$24:$D$28,2,FALSE)*W32</f>
        <v>0</v>
      </c>
      <c r="X43" s="63">
        <f>VLOOKUP(X$25,'T3D-Report Tables'!$C$24:$D$28,2,FALSE)*X32</f>
        <v>0</v>
      </c>
      <c r="Y43" s="63">
        <f>VLOOKUP(Y$25,'T3D-Report Tables'!$C$24:$D$28,2,FALSE)*Y32</f>
        <v>0</v>
      </c>
      <c r="Z43" s="63">
        <f>VLOOKUP(Z$25,'T3D-Report Tables'!$C$24:$D$28,2,FALSE)*Z32</f>
        <v>0</v>
      </c>
      <c r="AA43" s="72">
        <f t="shared" si="68"/>
        <v>0</v>
      </c>
      <c r="AC43" s="21" t="s">
        <v>95</v>
      </c>
      <c r="AD43" s="63">
        <f>VLOOKUP(AD$25,'T3D-Report Tables'!$C$24:$D$28,2,FALSE)*AD32</f>
        <v>0</v>
      </c>
      <c r="AE43" s="63">
        <f>VLOOKUP(AE$25,'T3D-Report Tables'!$C$24:$D$28,2,FALSE)*AE32</f>
        <v>0</v>
      </c>
      <c r="AF43" s="63">
        <f>VLOOKUP(AF$25,'T3D-Report Tables'!$C$24:$D$28,2,FALSE)*AF32</f>
        <v>0</v>
      </c>
      <c r="AG43" s="63">
        <f>VLOOKUP(AG$25,'T3D-Report Tables'!$C$24:$D$28,2,FALSE)*AG32</f>
        <v>0</v>
      </c>
      <c r="AH43" s="63">
        <f>VLOOKUP(AH$25,'T3D-Report Tables'!$C$24:$D$28,2,FALSE)*AH32</f>
        <v>0</v>
      </c>
      <c r="AI43" s="72">
        <f t="shared" si="69"/>
        <v>0</v>
      </c>
      <c r="AK43" s="21" t="s">
        <v>95</v>
      </c>
      <c r="AL43" s="63">
        <f>VLOOKUP(AL$25,'T3D-Report Tables'!$C$24:$D$28,2,FALSE)*AL32</f>
        <v>0</v>
      </c>
      <c r="AM43" s="63">
        <f>VLOOKUP(AM$25,'T3D-Report Tables'!$C$24:$D$28,2,FALSE)*AM32</f>
        <v>0</v>
      </c>
      <c r="AN43" s="63">
        <f>VLOOKUP(AN$25,'T3D-Report Tables'!$C$24:$D$28,2,FALSE)*AN32</f>
        <v>0</v>
      </c>
      <c r="AO43" s="63">
        <f>VLOOKUP(AO$25,'T3D-Report Tables'!$C$24:$D$28,2,FALSE)*AO32</f>
        <v>0</v>
      </c>
      <c r="AP43" s="63">
        <f>VLOOKUP(AP$25,'T3D-Report Tables'!$C$24:$D$28,2,FALSE)*AP32</f>
        <v>0</v>
      </c>
      <c r="AQ43" s="72">
        <f t="shared" si="70"/>
        <v>0</v>
      </c>
      <c r="AS43" s="21" t="s">
        <v>95</v>
      </c>
      <c r="AT43" s="63">
        <f>VLOOKUP(AT$25,'T3D-Report Tables'!$C$24:$D$28,2,FALSE)*AT32</f>
        <v>0</v>
      </c>
      <c r="AU43" s="63">
        <f>VLOOKUP(AU$25,'T3D-Report Tables'!$C$24:$D$28,2,FALSE)*AU32</f>
        <v>0</v>
      </c>
      <c r="AV43" s="63">
        <f>VLOOKUP(AV$25,'T3D-Report Tables'!$C$24:$D$28,2,FALSE)*AV32</f>
        <v>0</v>
      </c>
      <c r="AW43" s="63">
        <f>VLOOKUP(AW$25,'T3D-Report Tables'!$C$24:$D$28,2,FALSE)*AW32</f>
        <v>0</v>
      </c>
      <c r="AX43" s="63">
        <f>VLOOKUP(AX$25,'T3D-Report Tables'!$C$24:$D$28,2,FALSE)*AX32</f>
        <v>0</v>
      </c>
      <c r="AY43" s="72">
        <f t="shared" si="71"/>
        <v>0</v>
      </c>
      <c r="BA43" s="21" t="s">
        <v>95</v>
      </c>
      <c r="BB43" s="63">
        <f>VLOOKUP(BB$25,'T3D-Report Tables'!$C$24:$D$28,2,FALSE)*BB32</f>
        <v>0</v>
      </c>
      <c r="BC43" s="63">
        <f>VLOOKUP(BC$25,'T3D-Report Tables'!$C$24:$D$28,2,FALSE)*BC32</f>
        <v>0</v>
      </c>
      <c r="BD43" s="63">
        <f>VLOOKUP(BD$25,'T3D-Report Tables'!$C$24:$D$28,2,FALSE)*BD32</f>
        <v>0</v>
      </c>
      <c r="BE43" s="63">
        <f>VLOOKUP(BE$25,'T3D-Report Tables'!$C$24:$D$28,2,FALSE)*BE32</f>
        <v>0</v>
      </c>
      <c r="BF43" s="63">
        <f>VLOOKUP(BF$25,'T3D-Report Tables'!$C$24:$D$28,2,FALSE)*BF32</f>
        <v>0</v>
      </c>
      <c r="BG43" s="72">
        <f t="shared" si="72"/>
        <v>0</v>
      </c>
      <c r="BI43" s="21" t="s">
        <v>95</v>
      </c>
      <c r="BJ43" s="63">
        <f>VLOOKUP(BJ$25,'T3D-Report Tables'!$C$24:$D$28,2,FALSE)*BJ32</f>
        <v>0</v>
      </c>
      <c r="BK43" s="63">
        <f>VLOOKUP(BK$25,'T3D-Report Tables'!$C$24:$D$28,2,FALSE)*BK32</f>
        <v>0</v>
      </c>
      <c r="BL43" s="63">
        <f>VLOOKUP(BL$25,'T3D-Report Tables'!$C$24:$D$28,2,FALSE)*BL32</f>
        <v>0</v>
      </c>
      <c r="BM43" s="63">
        <f>VLOOKUP(BM$25,'T3D-Report Tables'!$C$24:$D$28,2,FALSE)*BM32</f>
        <v>0</v>
      </c>
      <c r="BN43" s="63">
        <f>VLOOKUP(BN$25,'T3D-Report Tables'!$C$24:$D$28,2,FALSE)*BN32</f>
        <v>0</v>
      </c>
      <c r="BO43" s="72">
        <f t="shared" si="73"/>
        <v>0</v>
      </c>
      <c r="BQ43" s="21" t="s">
        <v>95</v>
      </c>
      <c r="BR43" s="63">
        <f>VLOOKUP(BR$25,'T3D-Report Tables'!$C$24:$D$28,2,FALSE)*BR32</f>
        <v>0</v>
      </c>
      <c r="BS43" s="63">
        <f>VLOOKUP(BS$25,'T3D-Report Tables'!$C$24:$D$28,2,FALSE)*BS32</f>
        <v>0</v>
      </c>
      <c r="BT43" s="63">
        <f>VLOOKUP(BT$25,'T3D-Report Tables'!$C$24:$D$28,2,FALSE)*BT32</f>
        <v>0</v>
      </c>
      <c r="BU43" s="63">
        <f>VLOOKUP(BU$25,'T3D-Report Tables'!$C$24:$D$28,2,FALSE)*BU32</f>
        <v>0</v>
      </c>
      <c r="BV43" s="63">
        <f>VLOOKUP(BV$25,'T3D-Report Tables'!$C$24:$D$28,2,FALSE)*BV32</f>
        <v>0</v>
      </c>
      <c r="BW43" s="72">
        <f t="shared" si="74"/>
        <v>0</v>
      </c>
      <c r="BY43" s="21" t="s">
        <v>95</v>
      </c>
      <c r="BZ43" s="63">
        <f>VLOOKUP(BZ$25,'T3D-Report Tables'!$C$24:$D$28,2,FALSE)*BZ32</f>
        <v>0</v>
      </c>
      <c r="CA43" s="63">
        <f>VLOOKUP(CA$25,'T3D-Report Tables'!$C$24:$D$28,2,FALSE)*CA32</f>
        <v>0</v>
      </c>
      <c r="CB43" s="63">
        <f>VLOOKUP(CB$25,'T3D-Report Tables'!$C$24:$D$28,2,FALSE)*CB32</f>
        <v>0</v>
      </c>
      <c r="CC43" s="63">
        <f>VLOOKUP(CC$25,'T3D-Report Tables'!$C$24:$D$28,2,FALSE)*CC32</f>
        <v>0</v>
      </c>
      <c r="CD43" s="63">
        <f>VLOOKUP(CD$25,'T3D-Report Tables'!$C$24:$D$28,2,FALSE)*CD32</f>
        <v>0</v>
      </c>
      <c r="CE43" s="72">
        <f t="shared" si="75"/>
        <v>0</v>
      </c>
    </row>
    <row r="44" spans="2:83" ht="12.9" thickBot="1" x14ac:dyDescent="0.35">
      <c r="B44" s="92" t="s">
        <v>120</v>
      </c>
      <c r="C44" s="106">
        <f t="shared" ca="1" si="66"/>
        <v>0</v>
      </c>
      <c r="D44" s="106">
        <f t="shared" ca="1" si="66"/>
        <v>0</v>
      </c>
      <c r="E44" s="106">
        <f t="shared" ca="1" si="66"/>
        <v>0</v>
      </c>
      <c r="F44" s="106">
        <f t="shared" ca="1" si="66"/>
        <v>0</v>
      </c>
      <c r="G44" s="106">
        <f t="shared" ca="1" si="66"/>
        <v>0</v>
      </c>
      <c r="H44" s="106">
        <f t="shared" ca="1" si="66"/>
        <v>0</v>
      </c>
      <c r="I44" s="106">
        <f t="shared" ca="1" si="66"/>
        <v>0</v>
      </c>
      <c r="J44" s="106">
        <f t="shared" ca="1" si="66"/>
        <v>0</v>
      </c>
      <c r="K44" s="106">
        <f t="shared" ca="1" si="66"/>
        <v>0</v>
      </c>
      <c r="M44" s="92" t="s">
        <v>120</v>
      </c>
      <c r="N44" s="63">
        <f>VLOOKUP(N$25,'T3D-Report Tables'!$C$24:$D$28,2,FALSE)*N33</f>
        <v>0</v>
      </c>
      <c r="O44" s="63">
        <f>VLOOKUP(O$25,'T3D-Report Tables'!$C$24:$D$28,2,FALSE)*O33</f>
        <v>0</v>
      </c>
      <c r="P44" s="63">
        <f>VLOOKUP(P$25,'T3D-Report Tables'!$C$24:$D$28,2,FALSE)*P33</f>
        <v>0</v>
      </c>
      <c r="Q44" s="63">
        <f>VLOOKUP(Q$25,'T3D-Report Tables'!$C$24:$D$28,2,FALSE)*Q33</f>
        <v>0</v>
      </c>
      <c r="R44" s="63">
        <f>VLOOKUP(R$25,'T3D-Report Tables'!$C$24:$D$28,2,FALSE)*R33</f>
        <v>0</v>
      </c>
      <c r="S44" s="72">
        <f t="shared" si="67"/>
        <v>0</v>
      </c>
      <c r="U44" s="92" t="s">
        <v>120</v>
      </c>
      <c r="V44" s="63">
        <f>VLOOKUP(V$25,'T3D-Report Tables'!$C$24:$D$28,2,FALSE)*V33</f>
        <v>0</v>
      </c>
      <c r="W44" s="63">
        <f>VLOOKUP(W$25,'T3D-Report Tables'!$C$24:$D$28,2,FALSE)*W33</f>
        <v>0</v>
      </c>
      <c r="X44" s="63">
        <f>VLOOKUP(X$25,'T3D-Report Tables'!$C$24:$D$28,2,FALSE)*X33</f>
        <v>0</v>
      </c>
      <c r="Y44" s="63">
        <f>VLOOKUP(Y$25,'T3D-Report Tables'!$C$24:$D$28,2,FALSE)*Y33</f>
        <v>0</v>
      </c>
      <c r="Z44" s="63">
        <f>VLOOKUP(Z$25,'T3D-Report Tables'!$C$24:$D$28,2,FALSE)*Z33</f>
        <v>0</v>
      </c>
      <c r="AA44" s="72">
        <f t="shared" si="68"/>
        <v>0</v>
      </c>
      <c r="AC44" s="92" t="s">
        <v>120</v>
      </c>
      <c r="AD44" s="63">
        <f>VLOOKUP(AD$25,'T3D-Report Tables'!$C$24:$D$28,2,FALSE)*AD33</f>
        <v>0</v>
      </c>
      <c r="AE44" s="63">
        <f>VLOOKUP(AE$25,'T3D-Report Tables'!$C$24:$D$28,2,FALSE)*AE33</f>
        <v>0</v>
      </c>
      <c r="AF44" s="63">
        <f>VLOOKUP(AF$25,'T3D-Report Tables'!$C$24:$D$28,2,FALSE)*AF33</f>
        <v>0</v>
      </c>
      <c r="AG44" s="63">
        <f>VLOOKUP(AG$25,'T3D-Report Tables'!$C$24:$D$28,2,FALSE)*AG33</f>
        <v>0</v>
      </c>
      <c r="AH44" s="63">
        <f>VLOOKUP(AH$25,'T3D-Report Tables'!$C$24:$D$28,2,FALSE)*AH33</f>
        <v>0</v>
      </c>
      <c r="AI44" s="72">
        <f t="shared" si="69"/>
        <v>0</v>
      </c>
      <c r="AK44" s="92" t="s">
        <v>120</v>
      </c>
      <c r="AL44" s="63">
        <f>VLOOKUP(AL$25,'T3D-Report Tables'!$C$24:$D$28,2,FALSE)*AL33</f>
        <v>0</v>
      </c>
      <c r="AM44" s="63">
        <f>VLOOKUP(AM$25,'T3D-Report Tables'!$C$24:$D$28,2,FALSE)*AM33</f>
        <v>0</v>
      </c>
      <c r="AN44" s="63">
        <f>VLOOKUP(AN$25,'T3D-Report Tables'!$C$24:$D$28,2,FALSE)*AN33</f>
        <v>0</v>
      </c>
      <c r="AO44" s="63">
        <f>VLOOKUP(AO$25,'T3D-Report Tables'!$C$24:$D$28,2,FALSE)*AO33</f>
        <v>0</v>
      </c>
      <c r="AP44" s="63">
        <f>VLOOKUP(AP$25,'T3D-Report Tables'!$C$24:$D$28,2,FALSE)*AP33</f>
        <v>0</v>
      </c>
      <c r="AQ44" s="72">
        <f t="shared" si="70"/>
        <v>0</v>
      </c>
      <c r="AS44" s="92" t="s">
        <v>120</v>
      </c>
      <c r="AT44" s="63">
        <f>VLOOKUP(AT$25,'T3D-Report Tables'!$C$24:$D$28,2,FALSE)*AT33</f>
        <v>0</v>
      </c>
      <c r="AU44" s="63">
        <f>VLOOKUP(AU$25,'T3D-Report Tables'!$C$24:$D$28,2,FALSE)*AU33</f>
        <v>0</v>
      </c>
      <c r="AV44" s="63">
        <f>VLOOKUP(AV$25,'T3D-Report Tables'!$C$24:$D$28,2,FALSE)*AV33</f>
        <v>0</v>
      </c>
      <c r="AW44" s="63">
        <f>VLOOKUP(AW$25,'T3D-Report Tables'!$C$24:$D$28,2,FALSE)*AW33</f>
        <v>0</v>
      </c>
      <c r="AX44" s="63">
        <f>VLOOKUP(AX$25,'T3D-Report Tables'!$C$24:$D$28,2,FALSE)*AX33</f>
        <v>0</v>
      </c>
      <c r="AY44" s="72">
        <f t="shared" si="71"/>
        <v>0</v>
      </c>
      <c r="BA44" s="92" t="s">
        <v>120</v>
      </c>
      <c r="BB44" s="63">
        <f>VLOOKUP(BB$25,'T3D-Report Tables'!$C$24:$D$28,2,FALSE)*BB33</f>
        <v>0</v>
      </c>
      <c r="BC44" s="63">
        <f>VLOOKUP(BC$25,'T3D-Report Tables'!$C$24:$D$28,2,FALSE)*BC33</f>
        <v>0</v>
      </c>
      <c r="BD44" s="63">
        <f>VLOOKUP(BD$25,'T3D-Report Tables'!$C$24:$D$28,2,FALSE)*BD33</f>
        <v>0</v>
      </c>
      <c r="BE44" s="63">
        <f>VLOOKUP(BE$25,'T3D-Report Tables'!$C$24:$D$28,2,FALSE)*BE33</f>
        <v>0</v>
      </c>
      <c r="BF44" s="63">
        <f>VLOOKUP(BF$25,'T3D-Report Tables'!$C$24:$D$28,2,FALSE)*BF33</f>
        <v>0</v>
      </c>
      <c r="BG44" s="72">
        <f t="shared" si="72"/>
        <v>0</v>
      </c>
      <c r="BI44" s="92" t="s">
        <v>120</v>
      </c>
      <c r="BJ44" s="63">
        <f>VLOOKUP(BJ$25,'T3D-Report Tables'!$C$24:$D$28,2,FALSE)*BJ33</f>
        <v>0</v>
      </c>
      <c r="BK44" s="63">
        <f>VLOOKUP(BK$25,'T3D-Report Tables'!$C$24:$D$28,2,FALSE)*BK33</f>
        <v>0</v>
      </c>
      <c r="BL44" s="63">
        <f>VLOOKUP(BL$25,'T3D-Report Tables'!$C$24:$D$28,2,FALSE)*BL33</f>
        <v>0</v>
      </c>
      <c r="BM44" s="63">
        <f>VLOOKUP(BM$25,'T3D-Report Tables'!$C$24:$D$28,2,FALSE)*BM33</f>
        <v>0</v>
      </c>
      <c r="BN44" s="63">
        <f>VLOOKUP(BN$25,'T3D-Report Tables'!$C$24:$D$28,2,FALSE)*BN33</f>
        <v>0</v>
      </c>
      <c r="BO44" s="72">
        <f t="shared" si="73"/>
        <v>0</v>
      </c>
      <c r="BQ44" s="92" t="s">
        <v>120</v>
      </c>
      <c r="BR44" s="63">
        <f>VLOOKUP(BR$25,'T3D-Report Tables'!$C$24:$D$28,2,FALSE)*BR33</f>
        <v>0</v>
      </c>
      <c r="BS44" s="63">
        <f>VLOOKUP(BS$25,'T3D-Report Tables'!$C$24:$D$28,2,FALSE)*BS33</f>
        <v>0</v>
      </c>
      <c r="BT44" s="63">
        <f>VLOOKUP(BT$25,'T3D-Report Tables'!$C$24:$D$28,2,FALSE)*BT33</f>
        <v>0</v>
      </c>
      <c r="BU44" s="63">
        <f>VLOOKUP(BU$25,'T3D-Report Tables'!$C$24:$D$28,2,FALSE)*BU33</f>
        <v>0</v>
      </c>
      <c r="BV44" s="63">
        <f>VLOOKUP(BV$25,'T3D-Report Tables'!$C$24:$D$28,2,FALSE)*BV33</f>
        <v>0</v>
      </c>
      <c r="BW44" s="72">
        <f t="shared" si="74"/>
        <v>0</v>
      </c>
      <c r="BY44" s="92" t="s">
        <v>120</v>
      </c>
      <c r="BZ44" s="63">
        <f>VLOOKUP(BZ$25,'T3D-Report Tables'!$C$24:$D$28,2,FALSE)*BZ33</f>
        <v>0</v>
      </c>
      <c r="CA44" s="63">
        <f>VLOOKUP(CA$25,'T3D-Report Tables'!$C$24:$D$28,2,FALSE)*CA33</f>
        <v>0</v>
      </c>
      <c r="CB44" s="63">
        <f>VLOOKUP(CB$25,'T3D-Report Tables'!$C$24:$D$28,2,FALSE)*CB33</f>
        <v>0</v>
      </c>
      <c r="CC44" s="63">
        <f>VLOOKUP(CC$25,'T3D-Report Tables'!$C$24:$D$28,2,FALSE)*CC33</f>
        <v>0</v>
      </c>
      <c r="CD44" s="63">
        <f>VLOOKUP(CD$25,'T3D-Report Tables'!$C$24:$D$28,2,FALSE)*CD33</f>
        <v>0</v>
      </c>
      <c r="CE44" s="72">
        <f t="shared" si="75"/>
        <v>0</v>
      </c>
    </row>
    <row r="45" spans="2:83" x14ac:dyDescent="0.3">
      <c r="C45" s="656" t="s">
        <v>119</v>
      </c>
      <c r="D45" s="107">
        <f ca="1">$C$44-D44</f>
        <v>0</v>
      </c>
      <c r="E45" s="107">
        <f t="shared" ref="E45:K45" ca="1" si="76">$C$44-E44</f>
        <v>0</v>
      </c>
      <c r="F45" s="107">
        <f t="shared" ca="1" si="76"/>
        <v>0</v>
      </c>
      <c r="G45" s="107">
        <f t="shared" ca="1" si="76"/>
        <v>0</v>
      </c>
      <c r="H45" s="107">
        <f t="shared" ca="1" si="76"/>
        <v>0</v>
      </c>
      <c r="I45" s="107">
        <f t="shared" ca="1" si="76"/>
        <v>0</v>
      </c>
      <c r="J45" s="107">
        <f t="shared" ca="1" si="76"/>
        <v>0</v>
      </c>
      <c r="K45" s="108">
        <f t="shared" ca="1" si="76"/>
        <v>0</v>
      </c>
    </row>
    <row r="46" spans="2:83" ht="12.9" thickBot="1" x14ac:dyDescent="0.35">
      <c r="B46" s="20"/>
      <c r="C46" s="657"/>
      <c r="D46" s="101" t="e">
        <f t="shared" ref="D46:K46" ca="1" si="77">1-D44/$C$44</f>
        <v>#DIV/0!</v>
      </c>
      <c r="E46" s="101" t="e">
        <f t="shared" ca="1" si="77"/>
        <v>#DIV/0!</v>
      </c>
      <c r="F46" s="101" t="e">
        <f t="shared" ca="1" si="77"/>
        <v>#DIV/0!</v>
      </c>
      <c r="G46" s="101" t="e">
        <f t="shared" ca="1" si="77"/>
        <v>#DIV/0!</v>
      </c>
      <c r="H46" s="101" t="e">
        <f t="shared" ca="1" si="77"/>
        <v>#DIV/0!</v>
      </c>
      <c r="I46" s="101" t="e">
        <f t="shared" ca="1" si="77"/>
        <v>#DIV/0!</v>
      </c>
      <c r="J46" s="101" t="e">
        <f t="shared" ca="1" si="77"/>
        <v>#DIV/0!</v>
      </c>
      <c r="K46" s="102" t="e">
        <f t="shared" ca="1" si="77"/>
        <v>#DIV/0!</v>
      </c>
    </row>
    <row r="47" spans="2:83" x14ac:dyDescent="0.3">
      <c r="L47" s="20"/>
    </row>
    <row r="48" spans="2:83" ht="12.9" thickBot="1" x14ac:dyDescent="0.35">
      <c r="B48" s="94" t="s">
        <v>121</v>
      </c>
      <c r="C48" s="105">
        <f t="shared" ref="C48:K48" ca="1" si="78">OFFSET($M48,0,(6+8*C$24))</f>
        <v>0</v>
      </c>
      <c r="D48" s="105">
        <f ca="1">OFFSET($M48,0,(6+8*D$24))</f>
        <v>0</v>
      </c>
      <c r="E48" s="105">
        <f t="shared" ca="1" si="78"/>
        <v>0</v>
      </c>
      <c r="F48" s="105">
        <f t="shared" ca="1" si="78"/>
        <v>0</v>
      </c>
      <c r="G48" s="105">
        <f t="shared" ca="1" si="78"/>
        <v>0</v>
      </c>
      <c r="H48" s="105">
        <f t="shared" ca="1" si="78"/>
        <v>0</v>
      </c>
      <c r="I48" s="105">
        <f t="shared" ca="1" si="78"/>
        <v>0</v>
      </c>
      <c r="J48" s="105">
        <f t="shared" ca="1" si="78"/>
        <v>0</v>
      </c>
      <c r="K48" s="105">
        <f t="shared" ca="1" si="78"/>
        <v>0</v>
      </c>
      <c r="M48" s="94" t="s">
        <v>121</v>
      </c>
      <c r="N48" s="16">
        <f>VLOOKUP(N$25,'T3D-Report Tables'!$C$31:$E$35,3,FALSE)*N33</f>
        <v>0</v>
      </c>
      <c r="O48" s="16">
        <f>VLOOKUP(O$25,'T3D-Report Tables'!$C$31:$E$35,3,FALSE)*O33</f>
        <v>0</v>
      </c>
      <c r="P48" s="16">
        <f>VLOOKUP(P$25,'T3D-Report Tables'!$C$31:$E$35,3,FALSE)*P33</f>
        <v>0</v>
      </c>
      <c r="Q48" s="16">
        <f>VLOOKUP(Q$25,'T3D-Report Tables'!$C$31:$E$35,3,FALSE)*Q33</f>
        <v>0</v>
      </c>
      <c r="R48" s="16">
        <f>VLOOKUP(R$25,'T3D-Report Tables'!$C$31:$E$35,3,FALSE)*R33</f>
        <v>0</v>
      </c>
      <c r="S48" s="95">
        <f t="shared" ref="S48" si="79">SUMIF(N48:R48,"&lt;&gt;#N/A")</f>
        <v>0</v>
      </c>
      <c r="U48" s="94" t="s">
        <v>121</v>
      </c>
      <c r="V48" s="16">
        <f>VLOOKUP(V$25,'T3D-Report Tables'!$C$31:$E$35,3,FALSE)*V33</f>
        <v>0</v>
      </c>
      <c r="W48" s="16">
        <f>VLOOKUP(W$25,'T3D-Report Tables'!$C$31:$E$35,3,FALSE)*W33</f>
        <v>0</v>
      </c>
      <c r="X48" s="16">
        <f>VLOOKUP(X$25,'T3D-Report Tables'!$C$31:$E$35,3,FALSE)*X33</f>
        <v>0</v>
      </c>
      <c r="Y48" s="16">
        <f>VLOOKUP(Y$25,'T3D-Report Tables'!$C$31:$E$35,3,FALSE)*Y33</f>
        <v>0</v>
      </c>
      <c r="Z48" s="16">
        <f>VLOOKUP(Z$25,'T3D-Report Tables'!$C$31:$E$35,3,FALSE)*Z33</f>
        <v>0</v>
      </c>
      <c r="AA48" s="95">
        <f t="shared" ref="AA48" si="80">SUMIF(V48:Z48,"&lt;&gt;#N/A")</f>
        <v>0</v>
      </c>
      <c r="AC48" s="94" t="s">
        <v>121</v>
      </c>
      <c r="AD48" s="16">
        <f>VLOOKUP(AD$25,'T3D-Report Tables'!$C$31:$E$35,3,FALSE)*AD33</f>
        <v>0</v>
      </c>
      <c r="AE48" s="16">
        <f>VLOOKUP(AE$25,'T3D-Report Tables'!$C$31:$E$35,3,FALSE)*AE33</f>
        <v>0</v>
      </c>
      <c r="AF48" s="16">
        <f>VLOOKUP(AF$25,'T3D-Report Tables'!$C$31:$E$35,3,FALSE)*AF33</f>
        <v>0</v>
      </c>
      <c r="AG48" s="16">
        <f>VLOOKUP(AG$25,'T3D-Report Tables'!$C$31:$E$35,3,FALSE)*AG33</f>
        <v>0</v>
      </c>
      <c r="AH48" s="16">
        <f>VLOOKUP(AH$25,'T3D-Report Tables'!$C$31:$E$35,3,FALSE)*AH33</f>
        <v>0</v>
      </c>
      <c r="AI48" s="95">
        <f t="shared" ref="AI48" si="81">SUMIF(AD48:AH48,"&lt;&gt;#N/A")</f>
        <v>0</v>
      </c>
      <c r="AK48" s="94" t="s">
        <v>121</v>
      </c>
      <c r="AL48" s="16">
        <f>VLOOKUP(AL$25,'T3D-Report Tables'!$C$31:$E$35,3,FALSE)*AL33</f>
        <v>0</v>
      </c>
      <c r="AM48" s="16">
        <f>VLOOKUP(AM$25,'T3D-Report Tables'!$C$31:$E$35,3,FALSE)*AM33</f>
        <v>0</v>
      </c>
      <c r="AN48" s="16">
        <f>VLOOKUP(AN$25,'T3D-Report Tables'!$C$31:$E$35,3,FALSE)*AN33</f>
        <v>0</v>
      </c>
      <c r="AO48" s="16">
        <f>VLOOKUP(AO$25,'T3D-Report Tables'!$C$31:$E$35,3,FALSE)*AO33</f>
        <v>0</v>
      </c>
      <c r="AP48" s="16">
        <f>VLOOKUP(AP$25,'T3D-Report Tables'!$C$31:$E$35,3,FALSE)*AP33</f>
        <v>0</v>
      </c>
      <c r="AQ48" s="95">
        <f t="shared" ref="AQ48" si="82">SUMIF(AL48:AP48,"&lt;&gt;#N/A")</f>
        <v>0</v>
      </c>
      <c r="AS48" s="94" t="s">
        <v>121</v>
      </c>
      <c r="AT48" s="16">
        <f>VLOOKUP(AT$25,'T3D-Report Tables'!$C$31:$E$35,3,FALSE)*AT33</f>
        <v>0</v>
      </c>
      <c r="AU48" s="16">
        <f>VLOOKUP(AU$25,'T3D-Report Tables'!$C$31:$E$35,3,FALSE)*AU33</f>
        <v>0</v>
      </c>
      <c r="AV48" s="16">
        <f>VLOOKUP(AV$25,'T3D-Report Tables'!$C$31:$E$35,3,FALSE)*AV33</f>
        <v>0</v>
      </c>
      <c r="AW48" s="16">
        <f>VLOOKUP(AW$25,'T3D-Report Tables'!$C$31:$E$35,3,FALSE)*AW33</f>
        <v>0</v>
      </c>
      <c r="AX48" s="16">
        <f>VLOOKUP(AX$25,'T3D-Report Tables'!$C$31:$E$35,3,FALSE)*AX33</f>
        <v>0</v>
      </c>
      <c r="AY48" s="95">
        <f t="shared" ref="AY48" si="83">SUMIF(AT48:AX48,"&lt;&gt;#N/A")</f>
        <v>0</v>
      </c>
      <c r="BA48" s="94" t="s">
        <v>121</v>
      </c>
      <c r="BB48" s="16">
        <f>VLOOKUP(BB$25,'T3D-Report Tables'!$C$31:$E$35,3,FALSE)*BB33</f>
        <v>0</v>
      </c>
      <c r="BC48" s="16">
        <f>VLOOKUP(BC$25,'T3D-Report Tables'!$C$31:$E$35,3,FALSE)*BC33</f>
        <v>0</v>
      </c>
      <c r="BD48" s="16">
        <f>VLOOKUP(BD$25,'T3D-Report Tables'!$C$31:$E$35,3,FALSE)*BD33</f>
        <v>0</v>
      </c>
      <c r="BE48" s="16">
        <f>VLOOKUP(BE$25,'T3D-Report Tables'!$C$31:$E$35,3,FALSE)*BE33</f>
        <v>0</v>
      </c>
      <c r="BF48" s="16">
        <f>VLOOKUP(BF$25,'T3D-Report Tables'!$C$31:$E$35,3,FALSE)*BF33</f>
        <v>0</v>
      </c>
      <c r="BG48" s="95">
        <f t="shared" ref="BG48" si="84">SUMIF(BB48:BF48,"&lt;&gt;#N/A")</f>
        <v>0</v>
      </c>
      <c r="BI48" s="94" t="s">
        <v>121</v>
      </c>
      <c r="BJ48" s="16">
        <f>VLOOKUP(BJ$25,'T3D-Report Tables'!$C$31:$E$35,3,FALSE)*BJ33</f>
        <v>0</v>
      </c>
      <c r="BK48" s="16">
        <f>VLOOKUP(BK$25,'T3D-Report Tables'!$C$31:$E$35,3,FALSE)*BK33</f>
        <v>0</v>
      </c>
      <c r="BL48" s="16">
        <f>VLOOKUP(BL$25,'T3D-Report Tables'!$C$31:$E$35,3,FALSE)*BL33</f>
        <v>0</v>
      </c>
      <c r="BM48" s="16">
        <f>VLOOKUP(BM$25,'T3D-Report Tables'!$C$31:$E$35,3,FALSE)*BM33</f>
        <v>0</v>
      </c>
      <c r="BN48" s="16">
        <f>VLOOKUP(BN$25,'T3D-Report Tables'!$C$31:$E$35,3,FALSE)*BN33</f>
        <v>0</v>
      </c>
      <c r="BO48" s="95">
        <f t="shared" ref="BO48" si="85">SUMIF(BJ48:BN48,"&lt;&gt;#N/A")</f>
        <v>0</v>
      </c>
      <c r="BQ48" s="94" t="s">
        <v>121</v>
      </c>
      <c r="BR48" s="16">
        <f>VLOOKUP(BR$25,'T3D-Report Tables'!$C$31:$E$35,3,FALSE)*BR33</f>
        <v>0</v>
      </c>
      <c r="BS48" s="16">
        <f>VLOOKUP(BS$25,'T3D-Report Tables'!$C$31:$E$35,3,FALSE)*BS33</f>
        <v>0</v>
      </c>
      <c r="BT48" s="16">
        <f>VLOOKUP(BT$25,'T3D-Report Tables'!$C$31:$E$35,3,FALSE)*BT33</f>
        <v>0</v>
      </c>
      <c r="BU48" s="16">
        <f>VLOOKUP(BU$25,'T3D-Report Tables'!$C$31:$E$35,3,FALSE)*BU33</f>
        <v>0</v>
      </c>
      <c r="BV48" s="16">
        <f>VLOOKUP(BV$25,'T3D-Report Tables'!$C$31:$E$35,3,FALSE)*BV33</f>
        <v>0</v>
      </c>
      <c r="BW48" s="95">
        <f t="shared" ref="BW48" si="86">SUMIF(BR48:BV48,"&lt;&gt;#N/A")</f>
        <v>0</v>
      </c>
      <c r="BY48" s="94" t="s">
        <v>121</v>
      </c>
      <c r="BZ48" s="16">
        <f>VLOOKUP(BZ$25,'T3D-Report Tables'!$C$31:$E$35,3,FALSE)*BZ33</f>
        <v>0</v>
      </c>
      <c r="CA48" s="16">
        <f>VLOOKUP(CA$25,'T3D-Report Tables'!$C$31:$E$35,3,FALSE)*CA33</f>
        <v>0</v>
      </c>
      <c r="CB48" s="16">
        <f>VLOOKUP(CB$25,'T3D-Report Tables'!$C$31:$E$35,3,FALSE)*CB33</f>
        <v>0</v>
      </c>
      <c r="CC48" s="16">
        <f>VLOOKUP(CC$25,'T3D-Report Tables'!$C$31:$E$35,3,FALSE)*CC33</f>
        <v>0</v>
      </c>
      <c r="CD48" s="16">
        <f>VLOOKUP(CD$25,'T3D-Report Tables'!$C$31:$E$35,3,FALSE)*CD33</f>
        <v>0</v>
      </c>
      <c r="CE48" s="95">
        <f t="shared" ref="CE48" si="87">SUMIF(BZ48:CD48,"&lt;&gt;#N/A")</f>
        <v>0</v>
      </c>
    </row>
    <row r="49" spans="2:23" x14ac:dyDescent="0.3">
      <c r="B49" s="20"/>
      <c r="C49" s="656" t="s">
        <v>119</v>
      </c>
      <c r="D49" s="103">
        <f ca="1">$C$48-D48</f>
        <v>0</v>
      </c>
      <c r="E49" s="103">
        <f t="shared" ref="E49:K49" ca="1" si="88">$C$48-E48</f>
        <v>0</v>
      </c>
      <c r="F49" s="103">
        <f t="shared" ca="1" si="88"/>
        <v>0</v>
      </c>
      <c r="G49" s="103">
        <f t="shared" ca="1" si="88"/>
        <v>0</v>
      </c>
      <c r="H49" s="103">
        <f t="shared" ca="1" si="88"/>
        <v>0</v>
      </c>
      <c r="I49" s="103">
        <f t="shared" ca="1" si="88"/>
        <v>0</v>
      </c>
      <c r="J49" s="103">
        <f t="shared" ca="1" si="88"/>
        <v>0</v>
      </c>
      <c r="K49" s="104">
        <f t="shared" ca="1" si="88"/>
        <v>0</v>
      </c>
    </row>
    <row r="50" spans="2:23" ht="12.9" thickBot="1" x14ac:dyDescent="0.35">
      <c r="C50" s="657"/>
      <c r="D50" s="101" t="e">
        <f t="shared" ref="D50:K50" ca="1" si="89">1-D48/$C$48</f>
        <v>#DIV/0!</v>
      </c>
      <c r="E50" s="101" t="e">
        <f t="shared" ca="1" si="89"/>
        <v>#DIV/0!</v>
      </c>
      <c r="F50" s="101" t="e">
        <f t="shared" ca="1" si="89"/>
        <v>#DIV/0!</v>
      </c>
      <c r="G50" s="101" t="e">
        <f t="shared" ca="1" si="89"/>
        <v>#DIV/0!</v>
      </c>
      <c r="H50" s="101" t="e">
        <f t="shared" ca="1" si="89"/>
        <v>#DIV/0!</v>
      </c>
      <c r="I50" s="101" t="e">
        <f t="shared" ca="1" si="89"/>
        <v>#DIV/0!</v>
      </c>
      <c r="J50" s="101" t="e">
        <f t="shared" ca="1" si="89"/>
        <v>#DIV/0!</v>
      </c>
      <c r="K50" s="102" t="e">
        <f t="shared" ca="1" si="89"/>
        <v>#DIV/0!</v>
      </c>
    </row>
    <row r="51" spans="2:23" x14ac:dyDescent="0.3">
      <c r="L51" s="1"/>
      <c r="U51" s="1"/>
    </row>
    <row r="52" spans="2:23" x14ac:dyDescent="0.3">
      <c r="L52" s="1"/>
      <c r="U52" s="49"/>
      <c r="W52" s="49"/>
    </row>
    <row r="53" spans="2:23" x14ac:dyDescent="0.3">
      <c r="L53" s="1"/>
      <c r="U53" s="49"/>
      <c r="W53" s="49"/>
    </row>
    <row r="54" spans="2:23" x14ac:dyDescent="0.3">
      <c r="C54" s="46"/>
      <c r="D54" s="46"/>
      <c r="E54" s="46"/>
      <c r="F54" s="46"/>
      <c r="G54" s="46"/>
      <c r="H54" s="46"/>
      <c r="I54" s="46"/>
      <c r="J54" s="46"/>
      <c r="L54" s="1"/>
      <c r="U54" s="49"/>
      <c r="W54" s="49"/>
    </row>
    <row r="55" spans="2:23" x14ac:dyDescent="0.3">
      <c r="C55" s="99"/>
      <c r="D55" s="99"/>
      <c r="E55" s="99"/>
      <c r="F55" s="99"/>
      <c r="G55" s="99"/>
      <c r="H55" s="99"/>
      <c r="I55" s="99"/>
      <c r="J55" s="99"/>
      <c r="L55" s="1"/>
      <c r="U55" s="49"/>
      <c r="W55" s="49"/>
    </row>
    <row r="56" spans="2:23" x14ac:dyDescent="0.3">
      <c r="L56" s="1"/>
    </row>
    <row r="57" spans="2:23" x14ac:dyDescent="0.3">
      <c r="M57" s="48"/>
      <c r="N57" s="1"/>
      <c r="O57" s="9"/>
      <c r="P57" s="9"/>
    </row>
    <row r="58" spans="2:23" x14ac:dyDescent="0.3">
      <c r="S58" s="1"/>
      <c r="T58" s="1"/>
      <c r="U58" s="1"/>
    </row>
    <row r="59" spans="2:23" x14ac:dyDescent="0.3">
      <c r="M59" s="48"/>
      <c r="S59" s="47"/>
      <c r="T59" s="47"/>
      <c r="U59" s="47"/>
    </row>
    <row r="60" spans="2:23" x14ac:dyDescent="0.3">
      <c r="M60" s="48"/>
      <c r="S60" s="47"/>
      <c r="T60" s="47"/>
      <c r="U60" s="47"/>
    </row>
    <row r="61" spans="2:23" x14ac:dyDescent="0.3">
      <c r="M61" s="48"/>
    </row>
    <row r="62" spans="2:23" x14ac:dyDescent="0.3">
      <c r="M62" s="48"/>
    </row>
    <row r="63" spans="2:23" x14ac:dyDescent="0.3">
      <c r="M63" s="48"/>
    </row>
    <row r="65" spans="15:16" x14ac:dyDescent="0.3">
      <c r="O65" s="9"/>
      <c r="P65" s="9"/>
    </row>
  </sheetData>
  <mergeCells count="3">
    <mergeCell ref="C34:C35"/>
    <mergeCell ref="C45:C46"/>
    <mergeCell ref="C49:C50"/>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52DDE-0E7A-4519-882D-725072B0350A}">
  <sheetPr>
    <tabColor theme="8" tint="0.39997558519241921"/>
  </sheetPr>
  <dimension ref="B1:N30"/>
  <sheetViews>
    <sheetView zoomScale="85" zoomScaleNormal="85" workbookViewId="0">
      <selection activeCell="J42" sqref="J42"/>
    </sheetView>
  </sheetViews>
  <sheetFormatPr defaultColWidth="9.15234375" defaultRowHeight="14.6" x14ac:dyDescent="0.4"/>
  <cols>
    <col min="1" max="1" width="4.69140625" style="4" customWidth="1"/>
    <col min="2" max="2" width="15.3828125" style="7" customWidth="1"/>
    <col min="3" max="3" width="18.15234375" style="5" bestFit="1" customWidth="1"/>
    <col min="4" max="4" width="18.84375" style="5" bestFit="1" customWidth="1"/>
    <col min="5" max="6" width="18.84375" style="4" customWidth="1"/>
    <col min="7" max="11" width="18.15234375" style="4" customWidth="1"/>
    <col min="12" max="12" width="18.15234375" style="4" hidden="1" customWidth="1"/>
    <col min="13" max="14" width="19.15234375" style="4" hidden="1" customWidth="1"/>
    <col min="15" max="16384" width="9.15234375" style="4"/>
  </cols>
  <sheetData>
    <row r="1" spans="2:14" x14ac:dyDescent="0.4">
      <c r="B1" s="6"/>
      <c r="C1" s="23"/>
    </row>
    <row r="2" spans="2:14" x14ac:dyDescent="0.4">
      <c r="B2" s="446"/>
      <c r="E2" s="5"/>
      <c r="F2" s="5"/>
      <c r="G2" s="5"/>
      <c r="H2" s="5"/>
      <c r="I2" s="5"/>
      <c r="J2" s="5"/>
      <c r="K2" s="5"/>
      <c r="L2" s="5"/>
      <c r="M2" s="5"/>
      <c r="N2" s="5"/>
    </row>
    <row r="3" spans="2:14" ht="15" customHeight="1" x14ac:dyDescent="0.4">
      <c r="B3" s="658" t="s">
        <v>122</v>
      </c>
      <c r="C3" s="658"/>
      <c r="D3" s="658"/>
      <c r="E3" s="658"/>
      <c r="F3" s="658"/>
      <c r="G3" s="658"/>
      <c r="H3" s="658"/>
      <c r="I3" s="658"/>
      <c r="J3" s="658"/>
      <c r="K3" s="658"/>
      <c r="L3" s="658"/>
      <c r="M3" s="658"/>
      <c r="N3" s="658"/>
    </row>
    <row r="4" spans="2:14" x14ac:dyDescent="0.4">
      <c r="B4" s="10" t="s">
        <v>123</v>
      </c>
      <c r="C4" s="85" t="str">
        <f>'T3D-Report Tables'!L2</f>
        <v>Baseline</v>
      </c>
      <c r="D4" s="10" t="str">
        <f>'T3D-Report Tables'!M2</f>
        <v>Proposed: 1</v>
      </c>
      <c r="E4" s="10" t="str">
        <f>'T3D-Report Tables'!N2</f>
        <v>Proposed: 2</v>
      </c>
      <c r="F4" s="10" t="str">
        <f>'T3D-Report Tables'!O2</f>
        <v>Proposed: 3</v>
      </c>
      <c r="G4" s="10" t="str">
        <f>'T3D-Report Tables'!P2</f>
        <v>Proposed: 4</v>
      </c>
      <c r="H4" s="10" t="str">
        <f>'T3D-Report Tables'!Q2</f>
        <v>Proposed: 5</v>
      </c>
      <c r="I4" s="10" t="str">
        <f>'T3D-Report Tables'!R2</f>
        <v>Proposed: 6</v>
      </c>
      <c r="J4" s="10" t="str">
        <f>'T3D-Report Tables'!S2</f>
        <v>Proposed: 7</v>
      </c>
      <c r="K4" s="10" t="str">
        <f>'T3D-Report Tables'!T2</f>
        <v>Proposed: 8</v>
      </c>
      <c r="L4" s="10"/>
      <c r="M4" s="10"/>
      <c r="N4" s="10"/>
    </row>
    <row r="5" spans="2:14" x14ac:dyDescent="0.4">
      <c r="B5" s="447" t="s">
        <v>89</v>
      </c>
      <c r="C5" s="8">
        <f ca="1">'T3D Data'!C26</f>
        <v>0</v>
      </c>
      <c r="D5" s="8">
        <f ca="1">'T3D Data'!D26</f>
        <v>0</v>
      </c>
      <c r="E5" s="8">
        <f ca="1">'T3D Data'!E26</f>
        <v>0</v>
      </c>
      <c r="F5" s="8">
        <f ca="1">'T3D Data'!F26</f>
        <v>0</v>
      </c>
      <c r="G5" s="8">
        <f ca="1">'T3D Data'!G26</f>
        <v>0</v>
      </c>
      <c r="H5" s="8">
        <f ca="1">'T3D Data'!H26</f>
        <v>0</v>
      </c>
      <c r="I5" s="8">
        <f ca="1">'T3D Data'!I26</f>
        <v>0</v>
      </c>
      <c r="J5" s="8">
        <f ca="1">'T3D Data'!J26</f>
        <v>0</v>
      </c>
      <c r="K5" s="8">
        <f ca="1">'T3D Data'!K26</f>
        <v>0</v>
      </c>
      <c r="L5" s="8"/>
      <c r="M5" s="8"/>
      <c r="N5" s="8"/>
    </row>
    <row r="6" spans="2:14" x14ac:dyDescent="0.4">
      <c r="B6" s="447" t="s">
        <v>90</v>
      </c>
      <c r="C6" s="8">
        <f ca="1">'T3D Data'!C27</f>
        <v>0</v>
      </c>
      <c r="D6" s="8">
        <f ca="1">'T3D Data'!D27</f>
        <v>0</v>
      </c>
      <c r="E6" s="8">
        <f ca="1">'T3D Data'!E27</f>
        <v>0</v>
      </c>
      <c r="F6" s="8">
        <f ca="1">'T3D Data'!F27</f>
        <v>0</v>
      </c>
      <c r="G6" s="8">
        <f ca="1">'T3D Data'!G27</f>
        <v>0</v>
      </c>
      <c r="H6" s="8">
        <f ca="1">'T3D Data'!H27</f>
        <v>0</v>
      </c>
      <c r="I6" s="8">
        <f ca="1">'T3D Data'!I27</f>
        <v>0</v>
      </c>
      <c r="J6" s="8">
        <f ca="1">'T3D Data'!J27</f>
        <v>0</v>
      </c>
      <c r="K6" s="8">
        <f ca="1">'T3D Data'!K27</f>
        <v>0</v>
      </c>
      <c r="L6" s="8"/>
      <c r="M6" s="8"/>
      <c r="N6" s="8"/>
    </row>
    <row r="7" spans="2:14" x14ac:dyDescent="0.4">
      <c r="B7" s="447" t="s">
        <v>91</v>
      </c>
      <c r="C7" s="8">
        <f ca="1">'T3D Data'!C28</f>
        <v>0</v>
      </c>
      <c r="D7" s="8">
        <f ca="1">'T3D Data'!D28</f>
        <v>0</v>
      </c>
      <c r="E7" s="8">
        <f ca="1">'T3D Data'!E28</f>
        <v>0</v>
      </c>
      <c r="F7" s="8">
        <f ca="1">'T3D Data'!F28</f>
        <v>0</v>
      </c>
      <c r="G7" s="8">
        <f ca="1">'T3D Data'!G28</f>
        <v>0</v>
      </c>
      <c r="H7" s="8">
        <f ca="1">'T3D Data'!H28</f>
        <v>0</v>
      </c>
      <c r="I7" s="8">
        <f ca="1">'T3D Data'!I28</f>
        <v>0</v>
      </c>
      <c r="J7" s="8">
        <f ca="1">'T3D Data'!J28</f>
        <v>0</v>
      </c>
      <c r="K7" s="8">
        <f ca="1">'T3D Data'!K28</f>
        <v>0</v>
      </c>
      <c r="L7" s="8"/>
      <c r="M7" s="8"/>
      <c r="N7" s="8"/>
    </row>
    <row r="8" spans="2:14" x14ac:dyDescent="0.4">
      <c r="B8" s="447" t="s">
        <v>103</v>
      </c>
      <c r="C8" s="8">
        <f ca="1">'T3D Data'!C29</f>
        <v>0</v>
      </c>
      <c r="D8" s="8">
        <f ca="1">'T3D Data'!D29</f>
        <v>0</v>
      </c>
      <c r="E8" s="8">
        <f ca="1">'T3D Data'!E29</f>
        <v>0</v>
      </c>
      <c r="F8" s="8">
        <f ca="1">'T3D Data'!F29</f>
        <v>0</v>
      </c>
      <c r="G8" s="8">
        <f ca="1">'T3D Data'!G29</f>
        <v>0</v>
      </c>
      <c r="H8" s="8">
        <f ca="1">'T3D Data'!H29</f>
        <v>0</v>
      </c>
      <c r="I8" s="8">
        <f ca="1">'T3D Data'!I29</f>
        <v>0</v>
      </c>
      <c r="J8" s="8">
        <f ca="1">'T3D Data'!J29</f>
        <v>0</v>
      </c>
      <c r="K8" s="8">
        <f ca="1">'T3D Data'!K29</f>
        <v>0</v>
      </c>
      <c r="L8" s="8"/>
      <c r="M8" s="8"/>
      <c r="N8" s="8"/>
    </row>
    <row r="9" spans="2:14" x14ac:dyDescent="0.4">
      <c r="B9" s="447" t="s">
        <v>102</v>
      </c>
      <c r="C9" s="8">
        <f ca="1">'T3D Data'!C30</f>
        <v>0</v>
      </c>
      <c r="D9" s="8">
        <f ca="1">'T3D Data'!D30</f>
        <v>0</v>
      </c>
      <c r="E9" s="8">
        <f ca="1">'T3D Data'!E30</f>
        <v>0</v>
      </c>
      <c r="F9" s="8">
        <f ca="1">'T3D Data'!F30</f>
        <v>0</v>
      </c>
      <c r="G9" s="8">
        <f ca="1">'T3D Data'!G30</f>
        <v>0</v>
      </c>
      <c r="H9" s="8">
        <f ca="1">'T3D Data'!H30</f>
        <v>0</v>
      </c>
      <c r="I9" s="8">
        <f ca="1">'T3D Data'!I30</f>
        <v>0</v>
      </c>
      <c r="J9" s="8">
        <f ca="1">'T3D Data'!J30</f>
        <v>0</v>
      </c>
      <c r="K9" s="8">
        <f ca="1">'T3D Data'!K30</f>
        <v>0</v>
      </c>
      <c r="L9" s="8"/>
      <c r="M9" s="8"/>
      <c r="N9" s="8"/>
    </row>
    <row r="10" spans="2:14" x14ac:dyDescent="0.4">
      <c r="B10" s="447" t="s">
        <v>117</v>
      </c>
      <c r="C10" s="8">
        <f ca="1">'T3D Data'!C31</f>
        <v>0</v>
      </c>
      <c r="D10" s="8">
        <f ca="1">'T3D Data'!D31</f>
        <v>0</v>
      </c>
      <c r="E10" s="8">
        <f ca="1">'T3D Data'!E31</f>
        <v>0</v>
      </c>
      <c r="F10" s="8">
        <f ca="1">'T3D Data'!F31</f>
        <v>0</v>
      </c>
      <c r="G10" s="8">
        <f ca="1">'T3D Data'!G31</f>
        <v>0</v>
      </c>
      <c r="H10" s="8">
        <f ca="1">'T3D Data'!H31</f>
        <v>0</v>
      </c>
      <c r="I10" s="8">
        <f ca="1">'T3D Data'!I31</f>
        <v>0</v>
      </c>
      <c r="J10" s="8">
        <f ca="1">'T3D Data'!J31</f>
        <v>0</v>
      </c>
      <c r="K10" s="8">
        <f ca="1">'T3D Data'!K31</f>
        <v>0</v>
      </c>
      <c r="L10" s="8"/>
      <c r="M10" s="8"/>
      <c r="N10" s="8"/>
    </row>
    <row r="11" spans="2:14" x14ac:dyDescent="0.4">
      <c r="B11" s="447" t="s">
        <v>95</v>
      </c>
      <c r="C11" s="8">
        <f ca="1">'T3D Data'!C32</f>
        <v>0</v>
      </c>
      <c r="D11" s="8">
        <f ca="1">'T3D Data'!D32</f>
        <v>0</v>
      </c>
      <c r="E11" s="8">
        <f ca="1">'T3D Data'!E32</f>
        <v>0</v>
      </c>
      <c r="F11" s="8">
        <f ca="1">'T3D Data'!F32</f>
        <v>0</v>
      </c>
      <c r="G11" s="8">
        <f ca="1">'T3D Data'!G32</f>
        <v>0</v>
      </c>
      <c r="H11" s="8">
        <f ca="1">'T3D Data'!H32</f>
        <v>0</v>
      </c>
      <c r="I11" s="8">
        <f ca="1">'T3D Data'!I32</f>
        <v>0</v>
      </c>
      <c r="J11" s="8">
        <f ca="1">'T3D Data'!J32</f>
        <v>0</v>
      </c>
      <c r="K11" s="8">
        <f ca="1">'T3D Data'!K32</f>
        <v>0</v>
      </c>
      <c r="L11" s="8"/>
      <c r="M11" s="8"/>
      <c r="N11" s="8"/>
    </row>
    <row r="12" spans="2:14" x14ac:dyDescent="0.4">
      <c r="B12" s="448" t="s">
        <v>124</v>
      </c>
      <c r="C12" s="449" t="s">
        <v>21</v>
      </c>
      <c r="D12" s="24">
        <f ca="1">IF($C$13-D13&lt;0,"",$C$13-D13)</f>
        <v>0</v>
      </c>
      <c r="E12" s="24">
        <f ca="1">IF($C$13-E13&lt;0,"",$C$13-E13)</f>
        <v>0</v>
      </c>
      <c r="F12" s="24">
        <f t="shared" ref="F12:N12" ca="1" si="0">IF($C$13-F13&lt;0,"",$C$13-F13)</f>
        <v>0</v>
      </c>
      <c r="G12" s="24">
        <f t="shared" ca="1" si="0"/>
        <v>0</v>
      </c>
      <c r="H12" s="24">
        <f t="shared" ca="1" si="0"/>
        <v>0</v>
      </c>
      <c r="I12" s="24">
        <f t="shared" ca="1" si="0"/>
        <v>0</v>
      </c>
      <c r="J12" s="24">
        <f t="shared" ca="1" si="0"/>
        <v>0</v>
      </c>
      <c r="K12" s="24">
        <f t="shared" ca="1" si="0"/>
        <v>0</v>
      </c>
      <c r="L12" s="24">
        <f t="shared" ca="1" si="0"/>
        <v>0</v>
      </c>
      <c r="M12" s="24">
        <f t="shared" ca="1" si="0"/>
        <v>0</v>
      </c>
      <c r="N12" s="24">
        <f t="shared" ca="1" si="0"/>
        <v>0</v>
      </c>
    </row>
    <row r="13" spans="2:14" x14ac:dyDescent="0.4">
      <c r="B13" s="25" t="s">
        <v>125</v>
      </c>
      <c r="C13" s="26">
        <f t="shared" ref="C13:N13" ca="1" si="1">SUM(C5:C11)</f>
        <v>0</v>
      </c>
      <c r="D13" s="26">
        <f ca="1">SUM(D5:D11)</f>
        <v>0</v>
      </c>
      <c r="E13" s="26">
        <f t="shared" ca="1" si="1"/>
        <v>0</v>
      </c>
      <c r="F13" s="26">
        <f t="shared" ca="1" si="1"/>
        <v>0</v>
      </c>
      <c r="G13" s="26">
        <f t="shared" ca="1" si="1"/>
        <v>0</v>
      </c>
      <c r="H13" s="26">
        <f t="shared" ca="1" si="1"/>
        <v>0</v>
      </c>
      <c r="I13" s="26">
        <f t="shared" ca="1" si="1"/>
        <v>0</v>
      </c>
      <c r="J13" s="26">
        <f t="shared" ca="1" si="1"/>
        <v>0</v>
      </c>
      <c r="K13" s="26">
        <f t="shared" ca="1" si="1"/>
        <v>0</v>
      </c>
      <c r="L13" s="26">
        <f t="shared" si="1"/>
        <v>0</v>
      </c>
      <c r="M13" s="26">
        <f t="shared" si="1"/>
        <v>0</v>
      </c>
      <c r="N13" s="26">
        <f t="shared" si="1"/>
        <v>0</v>
      </c>
    </row>
    <row r="15" spans="2:14" x14ac:dyDescent="0.4">
      <c r="B15" s="659" t="s">
        <v>126</v>
      </c>
      <c r="C15" s="450" t="s">
        <v>21</v>
      </c>
      <c r="D15" s="451">
        <f ca="1">IFERROR(1-D13/$C$13,0)</f>
        <v>0</v>
      </c>
      <c r="E15" s="451">
        <f ca="1">IFERROR(1-E13/$C$13,0)</f>
        <v>0</v>
      </c>
      <c r="F15" s="451">
        <f t="shared" ref="F15:N15" ca="1" si="2">IFERROR(1-F13/$C$13,0)</f>
        <v>0</v>
      </c>
      <c r="G15" s="451">
        <f t="shared" ca="1" si="2"/>
        <v>0</v>
      </c>
      <c r="H15" s="451">
        <f t="shared" ca="1" si="2"/>
        <v>0</v>
      </c>
      <c r="I15" s="451">
        <f t="shared" ca="1" si="2"/>
        <v>0</v>
      </c>
      <c r="J15" s="451">
        <f t="shared" ca="1" si="2"/>
        <v>0</v>
      </c>
      <c r="K15" s="451">
        <f t="shared" ca="1" si="2"/>
        <v>0</v>
      </c>
      <c r="L15" s="451">
        <f t="shared" ca="1" si="2"/>
        <v>0</v>
      </c>
      <c r="M15" s="451">
        <f t="shared" ca="1" si="2"/>
        <v>0</v>
      </c>
      <c r="N15" s="451">
        <f t="shared" ca="1" si="2"/>
        <v>0</v>
      </c>
    </row>
    <row r="16" spans="2:14" x14ac:dyDescent="0.4">
      <c r="B16" s="659"/>
      <c r="D16" s="5" t="str">
        <f ca="1">IF(D15&lt;=0,"","Energy Savings: "&amp;TEXT(D15,"0%"))</f>
        <v/>
      </c>
      <c r="E16" s="5" t="str">
        <f t="shared" ref="E16:N16" ca="1" si="3">IF(E15&lt;=0,"","Energy Savings: "&amp;TEXT(E15,"0%"))</f>
        <v/>
      </c>
      <c r="F16" s="5" t="str">
        <f t="shared" ca="1" si="3"/>
        <v/>
      </c>
      <c r="G16" s="5" t="str">
        <f t="shared" ca="1" si="3"/>
        <v/>
      </c>
      <c r="H16" s="5" t="str">
        <f t="shared" ca="1" si="3"/>
        <v/>
      </c>
      <c r="I16" s="5" t="str">
        <f t="shared" ca="1" si="3"/>
        <v/>
      </c>
      <c r="J16" s="5" t="str">
        <f t="shared" ca="1" si="3"/>
        <v/>
      </c>
      <c r="K16" s="5" t="str">
        <f t="shared" ca="1" si="3"/>
        <v/>
      </c>
      <c r="L16" s="5" t="str">
        <f t="shared" ca="1" si="3"/>
        <v/>
      </c>
      <c r="M16" s="5" t="str">
        <f t="shared" ca="1" si="3"/>
        <v/>
      </c>
      <c r="N16" s="5" t="str">
        <f t="shared" ca="1" si="3"/>
        <v/>
      </c>
    </row>
    <row r="18" spans="2:14" x14ac:dyDescent="0.4">
      <c r="B18" s="660" t="s">
        <v>127</v>
      </c>
      <c r="C18" s="661"/>
      <c r="D18" s="661"/>
      <c r="E18" s="661"/>
      <c r="F18" s="661"/>
      <c r="G18" s="661"/>
      <c r="H18" s="661"/>
      <c r="I18" s="661"/>
      <c r="J18" s="661"/>
      <c r="K18" s="661"/>
      <c r="L18" s="661"/>
      <c r="M18" s="661"/>
      <c r="N18" s="662"/>
    </row>
    <row r="19" spans="2:14" x14ac:dyDescent="0.4">
      <c r="B19" s="447" t="s">
        <v>89</v>
      </c>
      <c r="C19" s="452">
        <f ca="1">'T3D Data'!C37</f>
        <v>0</v>
      </c>
      <c r="D19" s="452">
        <f ca="1">'T3D Data'!D37</f>
        <v>0</v>
      </c>
      <c r="E19" s="452">
        <f ca="1">'T3D Data'!E37</f>
        <v>0</v>
      </c>
      <c r="F19" s="452">
        <f ca="1">'T3D Data'!F37</f>
        <v>0</v>
      </c>
      <c r="G19" s="452">
        <f ca="1">'T3D Data'!G37</f>
        <v>0</v>
      </c>
      <c r="H19" s="452">
        <f ca="1">'T3D Data'!H37</f>
        <v>0</v>
      </c>
      <c r="I19" s="452">
        <f ca="1">'T3D Data'!I37</f>
        <v>0</v>
      </c>
      <c r="J19" s="452">
        <f ca="1">'T3D Data'!J37</f>
        <v>0</v>
      </c>
      <c r="K19" s="452">
        <f ca="1">'T3D Data'!K37</f>
        <v>0</v>
      </c>
      <c r="L19" s="452"/>
      <c r="M19" s="452"/>
      <c r="N19" s="452"/>
    </row>
    <row r="20" spans="2:14" x14ac:dyDescent="0.4">
      <c r="B20" s="447" t="s">
        <v>90</v>
      </c>
      <c r="C20" s="452">
        <f ca="1">'T3D Data'!C38</f>
        <v>0</v>
      </c>
      <c r="D20" s="452">
        <f ca="1">'T3D Data'!D38</f>
        <v>0</v>
      </c>
      <c r="E20" s="452">
        <f ca="1">'T3D Data'!E38</f>
        <v>0</v>
      </c>
      <c r="F20" s="452">
        <f ca="1">'T3D Data'!F38</f>
        <v>0</v>
      </c>
      <c r="G20" s="452">
        <f ca="1">'T3D Data'!G38</f>
        <v>0</v>
      </c>
      <c r="H20" s="452">
        <f ca="1">'T3D Data'!H38</f>
        <v>0</v>
      </c>
      <c r="I20" s="452">
        <f ca="1">'T3D Data'!I38</f>
        <v>0</v>
      </c>
      <c r="J20" s="452">
        <f ca="1">'T3D Data'!J38</f>
        <v>0</v>
      </c>
      <c r="K20" s="452">
        <f ca="1">'T3D Data'!K38</f>
        <v>0</v>
      </c>
      <c r="L20" s="452"/>
      <c r="M20" s="452"/>
      <c r="N20" s="452"/>
    </row>
    <row r="21" spans="2:14" x14ac:dyDescent="0.4">
      <c r="B21" s="447" t="s">
        <v>91</v>
      </c>
      <c r="C21" s="452">
        <f ca="1">'T3D Data'!C39</f>
        <v>0</v>
      </c>
      <c r="D21" s="452">
        <f ca="1">'T3D Data'!D39</f>
        <v>0</v>
      </c>
      <c r="E21" s="452">
        <f ca="1">'T3D Data'!E39</f>
        <v>0</v>
      </c>
      <c r="F21" s="452">
        <f ca="1">'T3D Data'!F39</f>
        <v>0</v>
      </c>
      <c r="G21" s="452">
        <f ca="1">'T3D Data'!G39</f>
        <v>0</v>
      </c>
      <c r="H21" s="452">
        <f ca="1">'T3D Data'!H39</f>
        <v>0</v>
      </c>
      <c r="I21" s="452">
        <f ca="1">'T3D Data'!I39</f>
        <v>0</v>
      </c>
      <c r="J21" s="452">
        <f ca="1">'T3D Data'!J39</f>
        <v>0</v>
      </c>
      <c r="K21" s="452">
        <f ca="1">'T3D Data'!K39</f>
        <v>0</v>
      </c>
      <c r="L21" s="452"/>
      <c r="M21" s="452"/>
      <c r="N21" s="452"/>
    </row>
    <row r="22" spans="2:14" x14ac:dyDescent="0.4">
      <c r="B22" s="447" t="s">
        <v>103</v>
      </c>
      <c r="C22" s="452">
        <f ca="1">'T3D Data'!C40</f>
        <v>0</v>
      </c>
      <c r="D22" s="452">
        <f ca="1">'T3D Data'!D40</f>
        <v>0</v>
      </c>
      <c r="E22" s="452">
        <f ca="1">'T3D Data'!E40</f>
        <v>0</v>
      </c>
      <c r="F22" s="452">
        <f ca="1">'T3D Data'!F40</f>
        <v>0</v>
      </c>
      <c r="G22" s="452">
        <f ca="1">'T3D Data'!G40</f>
        <v>0</v>
      </c>
      <c r="H22" s="452">
        <f ca="1">'T3D Data'!H40</f>
        <v>0</v>
      </c>
      <c r="I22" s="452">
        <f ca="1">'T3D Data'!I40</f>
        <v>0</v>
      </c>
      <c r="J22" s="452">
        <f ca="1">'T3D Data'!J40</f>
        <v>0</v>
      </c>
      <c r="K22" s="452">
        <f ca="1">'T3D Data'!K40</f>
        <v>0</v>
      </c>
      <c r="L22" s="452"/>
      <c r="M22" s="452"/>
      <c r="N22" s="452"/>
    </row>
    <row r="23" spans="2:14" x14ac:dyDescent="0.4">
      <c r="B23" s="447" t="s">
        <v>102</v>
      </c>
      <c r="C23" s="452">
        <f ca="1">'T3D Data'!C41</f>
        <v>0</v>
      </c>
      <c r="D23" s="452">
        <f ca="1">'T3D Data'!D41</f>
        <v>0</v>
      </c>
      <c r="E23" s="452">
        <f ca="1">'T3D Data'!E41</f>
        <v>0</v>
      </c>
      <c r="F23" s="452">
        <f ca="1">'T3D Data'!F41</f>
        <v>0</v>
      </c>
      <c r="G23" s="452">
        <f ca="1">'T3D Data'!G41</f>
        <v>0</v>
      </c>
      <c r="H23" s="452">
        <f ca="1">'T3D Data'!H41</f>
        <v>0</v>
      </c>
      <c r="I23" s="452">
        <f ca="1">'T3D Data'!I41</f>
        <v>0</v>
      </c>
      <c r="J23" s="452">
        <f ca="1">'T3D Data'!J41</f>
        <v>0</v>
      </c>
      <c r="K23" s="452">
        <f ca="1">'T3D Data'!K41</f>
        <v>0</v>
      </c>
      <c r="L23" s="452"/>
      <c r="M23" s="452"/>
      <c r="N23" s="452"/>
    </row>
    <row r="24" spans="2:14" x14ac:dyDescent="0.4">
      <c r="B24" s="447" t="s">
        <v>117</v>
      </c>
      <c r="C24" s="452">
        <f ca="1">'T3D Data'!C42</f>
        <v>0</v>
      </c>
      <c r="D24" s="452">
        <f ca="1">'T3D Data'!D42</f>
        <v>0</v>
      </c>
      <c r="E24" s="452">
        <f ca="1">'T3D Data'!E42</f>
        <v>0</v>
      </c>
      <c r="F24" s="452">
        <f ca="1">'T3D Data'!F42</f>
        <v>0</v>
      </c>
      <c r="G24" s="452">
        <f ca="1">'T3D Data'!G42</f>
        <v>0</v>
      </c>
      <c r="H24" s="452">
        <f ca="1">'T3D Data'!H42</f>
        <v>0</v>
      </c>
      <c r="I24" s="452">
        <f ca="1">'T3D Data'!I42</f>
        <v>0</v>
      </c>
      <c r="J24" s="452">
        <f ca="1">'T3D Data'!J42</f>
        <v>0</v>
      </c>
      <c r="K24" s="452">
        <f ca="1">'T3D Data'!K42</f>
        <v>0</v>
      </c>
      <c r="L24" s="452"/>
      <c r="M24" s="452"/>
      <c r="N24" s="452"/>
    </row>
    <row r="25" spans="2:14" x14ac:dyDescent="0.4">
      <c r="B25" s="447" t="s">
        <v>95</v>
      </c>
      <c r="C25" s="452">
        <f ca="1">'T3D Data'!C43</f>
        <v>0</v>
      </c>
      <c r="D25" s="452">
        <f ca="1">'T3D Data'!D43</f>
        <v>0</v>
      </c>
      <c r="E25" s="452">
        <f ca="1">'T3D Data'!E43</f>
        <v>0</v>
      </c>
      <c r="F25" s="452">
        <f ca="1">'T3D Data'!F43</f>
        <v>0</v>
      </c>
      <c r="G25" s="452">
        <f ca="1">'T3D Data'!G43</f>
        <v>0</v>
      </c>
      <c r="H25" s="452">
        <f ca="1">'T3D Data'!H43</f>
        <v>0</v>
      </c>
      <c r="I25" s="452">
        <f ca="1">'T3D Data'!I43</f>
        <v>0</v>
      </c>
      <c r="J25" s="452">
        <f ca="1">'T3D Data'!J43</f>
        <v>0</v>
      </c>
      <c r="K25" s="452">
        <f ca="1">'T3D Data'!K43</f>
        <v>0</v>
      </c>
      <c r="L25" s="452"/>
      <c r="M25" s="452"/>
      <c r="N25" s="452"/>
    </row>
    <row r="26" spans="2:14" x14ac:dyDescent="0.4">
      <c r="B26" s="448" t="s">
        <v>124</v>
      </c>
      <c r="C26" s="449" t="s">
        <v>21</v>
      </c>
      <c r="D26" s="453">
        <f ca="1">IF($C$27-D27&lt;0,"",$C$27-D27)</f>
        <v>0</v>
      </c>
      <c r="E26" s="453">
        <f t="shared" ref="E26:N26" ca="1" si="4">IF($C$27-E27&lt;0,"",$C$27-E27)</f>
        <v>0</v>
      </c>
      <c r="F26" s="453">
        <f t="shared" ca="1" si="4"/>
        <v>0</v>
      </c>
      <c r="G26" s="453">
        <f t="shared" ca="1" si="4"/>
        <v>0</v>
      </c>
      <c r="H26" s="453">
        <f t="shared" ca="1" si="4"/>
        <v>0</v>
      </c>
      <c r="I26" s="453">
        <f t="shared" ca="1" si="4"/>
        <v>0</v>
      </c>
      <c r="J26" s="453">
        <f t="shared" ca="1" si="4"/>
        <v>0</v>
      </c>
      <c r="K26" s="453">
        <f t="shared" ca="1" si="4"/>
        <v>0</v>
      </c>
      <c r="L26" s="453">
        <f ca="1">IF($C$27-L27&lt;0,"",$C$27-L27)</f>
        <v>0</v>
      </c>
      <c r="M26" s="453">
        <f t="shared" ca="1" si="4"/>
        <v>0</v>
      </c>
      <c r="N26" s="453">
        <f t="shared" ca="1" si="4"/>
        <v>0</v>
      </c>
    </row>
    <row r="27" spans="2:14" x14ac:dyDescent="0.4">
      <c r="B27" s="25" t="s">
        <v>125</v>
      </c>
      <c r="C27" s="27">
        <f t="shared" ref="C27:N27" ca="1" si="5">SUM(C19:C25)</f>
        <v>0</v>
      </c>
      <c r="D27" s="27">
        <f t="shared" ca="1" si="5"/>
        <v>0</v>
      </c>
      <c r="E27" s="27">
        <f t="shared" ca="1" si="5"/>
        <v>0</v>
      </c>
      <c r="F27" s="27">
        <f t="shared" ca="1" si="5"/>
        <v>0</v>
      </c>
      <c r="G27" s="27">
        <f t="shared" ca="1" si="5"/>
        <v>0</v>
      </c>
      <c r="H27" s="27">
        <f t="shared" ca="1" si="5"/>
        <v>0</v>
      </c>
      <c r="I27" s="27">
        <f t="shared" ca="1" si="5"/>
        <v>0</v>
      </c>
      <c r="J27" s="27">
        <f t="shared" ca="1" si="5"/>
        <v>0</v>
      </c>
      <c r="K27" s="27">
        <f t="shared" ca="1" si="5"/>
        <v>0</v>
      </c>
      <c r="L27" s="27">
        <f t="shared" si="5"/>
        <v>0</v>
      </c>
      <c r="M27" s="27">
        <f t="shared" si="5"/>
        <v>0</v>
      </c>
      <c r="N27" s="27">
        <f t="shared" si="5"/>
        <v>0</v>
      </c>
    </row>
    <row r="29" spans="2:14" x14ac:dyDescent="0.4">
      <c r="B29" s="663" t="s">
        <v>128</v>
      </c>
      <c r="C29" s="450" t="s">
        <v>21</v>
      </c>
      <c r="D29" s="451">
        <f ca="1">IFERROR(1-D27/$C$27,0)</f>
        <v>0</v>
      </c>
      <c r="E29" s="451">
        <f t="shared" ref="E29:N29" ca="1" si="6">IFERROR(1-E27/$C$27,0)</f>
        <v>0</v>
      </c>
      <c r="F29" s="451">
        <f t="shared" ca="1" si="6"/>
        <v>0</v>
      </c>
      <c r="G29" s="451">
        <f t="shared" ca="1" si="6"/>
        <v>0</v>
      </c>
      <c r="H29" s="451">
        <f t="shared" ca="1" si="6"/>
        <v>0</v>
      </c>
      <c r="I29" s="451">
        <f t="shared" ca="1" si="6"/>
        <v>0</v>
      </c>
      <c r="J29" s="451">
        <f t="shared" ca="1" si="6"/>
        <v>0</v>
      </c>
      <c r="K29" s="451">
        <f t="shared" ca="1" si="6"/>
        <v>0</v>
      </c>
      <c r="L29" s="451">
        <f t="shared" ca="1" si="6"/>
        <v>0</v>
      </c>
      <c r="M29" s="451">
        <f t="shared" ca="1" si="6"/>
        <v>0</v>
      </c>
      <c r="N29" s="451">
        <f t="shared" ca="1" si="6"/>
        <v>0</v>
      </c>
    </row>
    <row r="30" spans="2:14" x14ac:dyDescent="0.4">
      <c r="B30" s="663"/>
      <c r="D30" s="5" t="str">
        <f ca="1">IF(D29&lt;=0,"","Cost Savings: "&amp;TEXT(D29,"0%"))</f>
        <v/>
      </c>
      <c r="E30" s="5" t="str">
        <f t="shared" ref="E30:N30" ca="1" si="7">IF(E29&lt;=0,"","Cost Savings: "&amp;TEXT(E29,"0%"))</f>
        <v/>
      </c>
      <c r="F30" s="5" t="str">
        <f t="shared" ca="1" si="7"/>
        <v/>
      </c>
      <c r="G30" s="5" t="str">
        <f t="shared" ca="1" si="7"/>
        <v/>
      </c>
      <c r="H30" s="5" t="str">
        <f t="shared" ca="1" si="7"/>
        <v/>
      </c>
      <c r="I30" s="5" t="str">
        <f t="shared" ca="1" si="7"/>
        <v/>
      </c>
      <c r="J30" s="5" t="str">
        <f t="shared" ca="1" si="7"/>
        <v/>
      </c>
      <c r="K30" s="5" t="str">
        <f t="shared" ca="1" si="7"/>
        <v/>
      </c>
      <c r="L30" s="5" t="str">
        <f t="shared" ca="1" si="7"/>
        <v/>
      </c>
      <c r="M30" s="5" t="str">
        <f t="shared" ca="1" si="7"/>
        <v/>
      </c>
      <c r="N30" s="5" t="str">
        <f t="shared" ca="1" si="7"/>
        <v/>
      </c>
    </row>
  </sheetData>
  <mergeCells count="4">
    <mergeCell ref="B3:N3"/>
    <mergeCell ref="B15:B16"/>
    <mergeCell ref="B18:N18"/>
    <mergeCell ref="B29:B3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B1:N30"/>
  <sheetViews>
    <sheetView zoomScale="85" zoomScaleNormal="85" workbookViewId="0">
      <selection activeCell="J42" sqref="J42"/>
    </sheetView>
  </sheetViews>
  <sheetFormatPr defaultColWidth="9.15234375" defaultRowHeight="14.6" x14ac:dyDescent="0.4"/>
  <cols>
    <col min="1" max="1" width="4.69140625" style="4" customWidth="1"/>
    <col min="2" max="2" width="15.3828125" style="7" customWidth="1"/>
    <col min="3" max="3" width="18.15234375" style="5" bestFit="1" customWidth="1"/>
    <col min="4" max="4" width="18.84375" style="5" bestFit="1" customWidth="1"/>
    <col min="5" max="6" width="18.84375" style="4" customWidth="1"/>
    <col min="7" max="11" width="18.15234375" style="4" customWidth="1"/>
    <col min="12" max="12" width="18.15234375" style="4" hidden="1" customWidth="1"/>
    <col min="13" max="14" width="19.15234375" style="4" hidden="1" customWidth="1"/>
    <col min="15" max="16384" width="9.15234375" style="4"/>
  </cols>
  <sheetData>
    <row r="1" spans="2:14" x14ac:dyDescent="0.4">
      <c r="B1" s="6"/>
      <c r="C1" s="23"/>
    </row>
    <row r="2" spans="2:14" x14ac:dyDescent="0.4">
      <c r="B2" s="446"/>
      <c r="E2" s="5"/>
      <c r="F2" s="5"/>
      <c r="G2" s="5"/>
      <c r="H2" s="5"/>
      <c r="I2" s="5"/>
      <c r="J2" s="5"/>
      <c r="K2" s="5"/>
      <c r="L2" s="5"/>
      <c r="M2" s="5"/>
      <c r="N2" s="5"/>
    </row>
    <row r="3" spans="2:14" ht="15" customHeight="1" x14ac:dyDescent="0.4">
      <c r="B3" s="658" t="s">
        <v>122</v>
      </c>
      <c r="C3" s="658"/>
      <c r="D3" s="658"/>
      <c r="E3" s="658"/>
      <c r="F3" s="658"/>
      <c r="G3" s="658"/>
      <c r="H3" s="658"/>
      <c r="I3" s="658"/>
      <c r="J3" s="658"/>
      <c r="K3" s="658"/>
      <c r="L3" s="658"/>
      <c r="M3" s="658"/>
      <c r="N3" s="658"/>
    </row>
    <row r="4" spans="2:14" x14ac:dyDescent="0.4">
      <c r="B4" s="10" t="s">
        <v>123</v>
      </c>
      <c r="C4" s="85" t="e">
        <f>#REF!</f>
        <v>#REF!</v>
      </c>
      <c r="D4" s="10" t="e">
        <f>#REF!</f>
        <v>#REF!</v>
      </c>
      <c r="E4" s="10" t="e">
        <f>#REF!</f>
        <v>#REF!</v>
      </c>
      <c r="F4" s="10" t="e">
        <f>#REF!</f>
        <v>#REF!</v>
      </c>
      <c r="G4" s="10" t="e">
        <f>#REF!</f>
        <v>#REF!</v>
      </c>
      <c r="H4" s="10" t="e">
        <f>#REF!</f>
        <v>#REF!</v>
      </c>
      <c r="I4" s="10" t="e">
        <f>#REF!</f>
        <v>#REF!</v>
      </c>
      <c r="J4" s="10" t="e">
        <f>#REF!</f>
        <v>#REF!</v>
      </c>
      <c r="K4" s="10" t="e">
        <f>#REF!</f>
        <v>#REF!</v>
      </c>
      <c r="L4" s="10"/>
      <c r="M4" s="10"/>
      <c r="N4" s="10"/>
    </row>
    <row r="5" spans="2:14" x14ac:dyDescent="0.4">
      <c r="B5" s="447" t="s">
        <v>89</v>
      </c>
      <c r="C5" s="8" t="e">
        <f>#REF!</f>
        <v>#REF!</v>
      </c>
      <c r="D5" s="8" t="e">
        <f>#REF!</f>
        <v>#REF!</v>
      </c>
      <c r="E5" s="8" t="e">
        <f>#REF!</f>
        <v>#REF!</v>
      </c>
      <c r="F5" s="8" t="e">
        <f>#REF!</f>
        <v>#REF!</v>
      </c>
      <c r="G5" s="8" t="e">
        <f>#REF!</f>
        <v>#REF!</v>
      </c>
      <c r="H5" s="8" t="e">
        <f>#REF!</f>
        <v>#REF!</v>
      </c>
      <c r="I5" s="8" t="e">
        <f>#REF!</f>
        <v>#REF!</v>
      </c>
      <c r="J5" s="8" t="e">
        <f>#REF!</f>
        <v>#REF!</v>
      </c>
      <c r="K5" s="8" t="e">
        <f>#REF!</f>
        <v>#REF!</v>
      </c>
      <c r="L5" s="8"/>
      <c r="M5" s="8"/>
      <c r="N5" s="8"/>
    </row>
    <row r="6" spans="2:14" x14ac:dyDescent="0.4">
      <c r="B6" s="447" t="s">
        <v>90</v>
      </c>
      <c r="C6" s="8" t="e">
        <f>#REF!</f>
        <v>#REF!</v>
      </c>
      <c r="D6" s="8" t="e">
        <f>#REF!</f>
        <v>#REF!</v>
      </c>
      <c r="E6" s="8" t="e">
        <f>#REF!</f>
        <v>#REF!</v>
      </c>
      <c r="F6" s="8" t="e">
        <f>#REF!</f>
        <v>#REF!</v>
      </c>
      <c r="G6" s="8" t="e">
        <f>#REF!</f>
        <v>#REF!</v>
      </c>
      <c r="H6" s="8" t="e">
        <f>#REF!</f>
        <v>#REF!</v>
      </c>
      <c r="I6" s="8" t="e">
        <f>#REF!</f>
        <v>#REF!</v>
      </c>
      <c r="J6" s="8" t="e">
        <f>#REF!</f>
        <v>#REF!</v>
      </c>
      <c r="K6" s="8" t="e">
        <f>#REF!</f>
        <v>#REF!</v>
      </c>
      <c r="L6" s="8"/>
      <c r="M6" s="8"/>
      <c r="N6" s="8"/>
    </row>
    <row r="7" spans="2:14" x14ac:dyDescent="0.4">
      <c r="B7" s="447" t="s">
        <v>91</v>
      </c>
      <c r="C7" s="8" t="e">
        <f>#REF!</f>
        <v>#REF!</v>
      </c>
      <c r="D7" s="8" t="e">
        <f>#REF!</f>
        <v>#REF!</v>
      </c>
      <c r="E7" s="8" t="e">
        <f>#REF!</f>
        <v>#REF!</v>
      </c>
      <c r="F7" s="8" t="e">
        <f>#REF!</f>
        <v>#REF!</v>
      </c>
      <c r="G7" s="8" t="e">
        <f>#REF!</f>
        <v>#REF!</v>
      </c>
      <c r="H7" s="8" t="e">
        <f>#REF!</f>
        <v>#REF!</v>
      </c>
      <c r="I7" s="8" t="e">
        <f>#REF!</f>
        <v>#REF!</v>
      </c>
      <c r="J7" s="8" t="e">
        <f>#REF!</f>
        <v>#REF!</v>
      </c>
      <c r="K7" s="8" t="e">
        <f>#REF!</f>
        <v>#REF!</v>
      </c>
      <c r="L7" s="8"/>
      <c r="M7" s="8"/>
      <c r="N7" s="8"/>
    </row>
    <row r="8" spans="2:14" x14ac:dyDescent="0.4">
      <c r="B8" s="447" t="s">
        <v>103</v>
      </c>
      <c r="C8" s="8" t="e">
        <f>#REF!</f>
        <v>#REF!</v>
      </c>
      <c r="D8" s="8" t="e">
        <f>#REF!</f>
        <v>#REF!</v>
      </c>
      <c r="E8" s="8" t="e">
        <f>#REF!</f>
        <v>#REF!</v>
      </c>
      <c r="F8" s="8" t="e">
        <f>#REF!</f>
        <v>#REF!</v>
      </c>
      <c r="G8" s="8" t="e">
        <f>#REF!</f>
        <v>#REF!</v>
      </c>
      <c r="H8" s="8" t="e">
        <f>#REF!</f>
        <v>#REF!</v>
      </c>
      <c r="I8" s="8" t="e">
        <f>#REF!</f>
        <v>#REF!</v>
      </c>
      <c r="J8" s="8" t="e">
        <f>#REF!</f>
        <v>#REF!</v>
      </c>
      <c r="K8" s="8" t="e">
        <f>#REF!</f>
        <v>#REF!</v>
      </c>
      <c r="L8" s="8"/>
      <c r="M8" s="8"/>
      <c r="N8" s="8"/>
    </row>
    <row r="9" spans="2:14" x14ac:dyDescent="0.4">
      <c r="B9" s="447" t="s">
        <v>102</v>
      </c>
      <c r="C9" s="8" t="e">
        <f>#REF!</f>
        <v>#REF!</v>
      </c>
      <c r="D9" s="8" t="e">
        <f>#REF!</f>
        <v>#REF!</v>
      </c>
      <c r="E9" s="8" t="e">
        <f>#REF!</f>
        <v>#REF!</v>
      </c>
      <c r="F9" s="8" t="e">
        <f>#REF!</f>
        <v>#REF!</v>
      </c>
      <c r="G9" s="8" t="e">
        <f>#REF!</f>
        <v>#REF!</v>
      </c>
      <c r="H9" s="8" t="e">
        <f>#REF!</f>
        <v>#REF!</v>
      </c>
      <c r="I9" s="8" t="e">
        <f>#REF!</f>
        <v>#REF!</v>
      </c>
      <c r="J9" s="8" t="e">
        <f>#REF!</f>
        <v>#REF!</v>
      </c>
      <c r="K9" s="8" t="e">
        <f>#REF!</f>
        <v>#REF!</v>
      </c>
      <c r="L9" s="8"/>
      <c r="M9" s="8"/>
      <c r="N9" s="8"/>
    </row>
    <row r="10" spans="2:14" x14ac:dyDescent="0.4">
      <c r="B10" s="447" t="s">
        <v>117</v>
      </c>
      <c r="C10" s="8" t="e">
        <f>#REF!</f>
        <v>#REF!</v>
      </c>
      <c r="D10" s="8" t="e">
        <f>#REF!</f>
        <v>#REF!</v>
      </c>
      <c r="E10" s="8" t="e">
        <f>#REF!</f>
        <v>#REF!</v>
      </c>
      <c r="F10" s="8" t="e">
        <f>#REF!</f>
        <v>#REF!</v>
      </c>
      <c r="G10" s="8" t="e">
        <f>#REF!</f>
        <v>#REF!</v>
      </c>
      <c r="H10" s="8" t="e">
        <f>#REF!</f>
        <v>#REF!</v>
      </c>
      <c r="I10" s="8" t="e">
        <f>#REF!</f>
        <v>#REF!</v>
      </c>
      <c r="J10" s="8" t="e">
        <f>#REF!</f>
        <v>#REF!</v>
      </c>
      <c r="K10" s="8" t="e">
        <f>#REF!</f>
        <v>#REF!</v>
      </c>
      <c r="L10" s="8"/>
      <c r="M10" s="8"/>
      <c r="N10" s="8"/>
    </row>
    <row r="11" spans="2:14" x14ac:dyDescent="0.4">
      <c r="B11" s="447" t="s">
        <v>95</v>
      </c>
      <c r="C11" s="8" t="e">
        <f>#REF!</f>
        <v>#REF!</v>
      </c>
      <c r="D11" s="8" t="e">
        <f>#REF!</f>
        <v>#REF!</v>
      </c>
      <c r="E11" s="8" t="e">
        <f>#REF!</f>
        <v>#REF!</v>
      </c>
      <c r="F11" s="8" t="e">
        <f>#REF!</f>
        <v>#REF!</v>
      </c>
      <c r="G11" s="8" t="e">
        <f>#REF!</f>
        <v>#REF!</v>
      </c>
      <c r="H11" s="8" t="e">
        <f>#REF!</f>
        <v>#REF!</v>
      </c>
      <c r="I11" s="8" t="e">
        <f>#REF!</f>
        <v>#REF!</v>
      </c>
      <c r="J11" s="8" t="e">
        <f>#REF!</f>
        <v>#REF!</v>
      </c>
      <c r="K11" s="8" t="e">
        <f>#REF!</f>
        <v>#REF!</v>
      </c>
      <c r="L11" s="8"/>
      <c r="M11" s="8"/>
      <c r="N11" s="8"/>
    </row>
    <row r="12" spans="2:14" x14ac:dyDescent="0.4">
      <c r="B12" s="448" t="s">
        <v>124</v>
      </c>
      <c r="C12" s="449" t="s">
        <v>21</v>
      </c>
      <c r="D12" s="24" t="e">
        <f>IF($C$13-D13&lt;0,"",$C$13-D13)</f>
        <v>#REF!</v>
      </c>
      <c r="E12" s="24" t="e">
        <f>IF($C$13-E13&lt;0,"",$C$13-E13)</f>
        <v>#REF!</v>
      </c>
      <c r="F12" s="24" t="e">
        <f t="shared" ref="F12:N12" si="0">IF($C$13-F13&lt;0,"",$C$13-F13)</f>
        <v>#REF!</v>
      </c>
      <c r="G12" s="24" t="e">
        <f t="shared" si="0"/>
        <v>#REF!</v>
      </c>
      <c r="H12" s="24" t="e">
        <f t="shared" si="0"/>
        <v>#REF!</v>
      </c>
      <c r="I12" s="24" t="e">
        <f t="shared" si="0"/>
        <v>#REF!</v>
      </c>
      <c r="J12" s="24" t="e">
        <f t="shared" si="0"/>
        <v>#REF!</v>
      </c>
      <c r="K12" s="24" t="e">
        <f t="shared" si="0"/>
        <v>#REF!</v>
      </c>
      <c r="L12" s="24" t="e">
        <f t="shared" si="0"/>
        <v>#REF!</v>
      </c>
      <c r="M12" s="24" t="e">
        <f t="shared" si="0"/>
        <v>#REF!</v>
      </c>
      <c r="N12" s="24" t="e">
        <f t="shared" si="0"/>
        <v>#REF!</v>
      </c>
    </row>
    <row r="13" spans="2:14" x14ac:dyDescent="0.4">
      <c r="B13" s="25" t="s">
        <v>125</v>
      </c>
      <c r="C13" s="26" t="e">
        <f t="shared" ref="C13:N13" si="1">SUM(C5:C11)</f>
        <v>#REF!</v>
      </c>
      <c r="D13" s="26" t="e">
        <f>SUM(D5:D11)</f>
        <v>#REF!</v>
      </c>
      <c r="E13" s="26" t="e">
        <f t="shared" si="1"/>
        <v>#REF!</v>
      </c>
      <c r="F13" s="26" t="e">
        <f t="shared" si="1"/>
        <v>#REF!</v>
      </c>
      <c r="G13" s="26" t="e">
        <f t="shared" si="1"/>
        <v>#REF!</v>
      </c>
      <c r="H13" s="26" t="e">
        <f t="shared" si="1"/>
        <v>#REF!</v>
      </c>
      <c r="I13" s="26" t="e">
        <f t="shared" si="1"/>
        <v>#REF!</v>
      </c>
      <c r="J13" s="26" t="e">
        <f t="shared" si="1"/>
        <v>#REF!</v>
      </c>
      <c r="K13" s="26" t="e">
        <f t="shared" si="1"/>
        <v>#REF!</v>
      </c>
      <c r="L13" s="26">
        <f t="shared" si="1"/>
        <v>0</v>
      </c>
      <c r="M13" s="26">
        <f t="shared" si="1"/>
        <v>0</v>
      </c>
      <c r="N13" s="26">
        <f t="shared" si="1"/>
        <v>0</v>
      </c>
    </row>
    <row r="15" spans="2:14" x14ac:dyDescent="0.4">
      <c r="B15" s="659" t="s">
        <v>126</v>
      </c>
      <c r="C15" s="450" t="s">
        <v>21</v>
      </c>
      <c r="D15" s="451">
        <f>IFERROR(1-D13/$C$13,0)</f>
        <v>0</v>
      </c>
      <c r="E15" s="451">
        <f>IFERROR(1-E13/$C$13,0)</f>
        <v>0</v>
      </c>
      <c r="F15" s="451">
        <f t="shared" ref="F15:N15" si="2">IFERROR(1-F13/$C$13,0)</f>
        <v>0</v>
      </c>
      <c r="G15" s="451">
        <f t="shared" si="2"/>
        <v>0</v>
      </c>
      <c r="H15" s="451">
        <f t="shared" si="2"/>
        <v>0</v>
      </c>
      <c r="I15" s="451">
        <f t="shared" si="2"/>
        <v>0</v>
      </c>
      <c r="J15" s="451">
        <f t="shared" si="2"/>
        <v>0</v>
      </c>
      <c r="K15" s="451">
        <f t="shared" si="2"/>
        <v>0</v>
      </c>
      <c r="L15" s="451">
        <f t="shared" si="2"/>
        <v>0</v>
      </c>
      <c r="M15" s="451">
        <f t="shared" si="2"/>
        <v>0</v>
      </c>
      <c r="N15" s="451">
        <f t="shared" si="2"/>
        <v>0</v>
      </c>
    </row>
    <row r="16" spans="2:14" x14ac:dyDescent="0.4">
      <c r="B16" s="659"/>
      <c r="D16" s="5" t="str">
        <f>IF(D15&lt;=0,"","Energy Savings: "&amp;TEXT(D15,"0%"))</f>
        <v/>
      </c>
      <c r="E16" s="5" t="str">
        <f t="shared" ref="E16:N16" si="3">IF(E15&lt;=0,"","Energy Savings: "&amp;TEXT(E15,"0%"))</f>
        <v/>
      </c>
      <c r="F16" s="5" t="str">
        <f t="shared" si="3"/>
        <v/>
      </c>
      <c r="G16" s="5" t="str">
        <f t="shared" si="3"/>
        <v/>
      </c>
      <c r="H16" s="5" t="str">
        <f t="shared" si="3"/>
        <v/>
      </c>
      <c r="I16" s="5" t="str">
        <f t="shared" si="3"/>
        <v/>
      </c>
      <c r="J16" s="5" t="str">
        <f t="shared" si="3"/>
        <v/>
      </c>
      <c r="K16" s="5" t="str">
        <f t="shared" si="3"/>
        <v/>
      </c>
      <c r="L16" s="5" t="str">
        <f t="shared" si="3"/>
        <v/>
      </c>
      <c r="M16" s="5" t="str">
        <f t="shared" si="3"/>
        <v/>
      </c>
      <c r="N16" s="5" t="str">
        <f t="shared" si="3"/>
        <v/>
      </c>
    </row>
    <row r="18" spans="2:14" x14ac:dyDescent="0.4">
      <c r="B18" s="660" t="s">
        <v>127</v>
      </c>
      <c r="C18" s="661"/>
      <c r="D18" s="661"/>
      <c r="E18" s="661"/>
      <c r="F18" s="661"/>
      <c r="G18" s="661"/>
      <c r="H18" s="661"/>
      <c r="I18" s="661"/>
      <c r="J18" s="661"/>
      <c r="K18" s="661"/>
      <c r="L18" s="661"/>
      <c r="M18" s="661"/>
      <c r="N18" s="662"/>
    </row>
    <row r="19" spans="2:14" x14ac:dyDescent="0.4">
      <c r="B19" s="447" t="s">
        <v>89</v>
      </c>
      <c r="C19" s="452" t="e">
        <f>#REF!</f>
        <v>#REF!</v>
      </c>
      <c r="D19" s="452" t="e">
        <f>#REF!</f>
        <v>#REF!</v>
      </c>
      <c r="E19" s="452" t="e">
        <f>#REF!</f>
        <v>#REF!</v>
      </c>
      <c r="F19" s="452" t="e">
        <f>#REF!</f>
        <v>#REF!</v>
      </c>
      <c r="G19" s="452" t="e">
        <f>#REF!</f>
        <v>#REF!</v>
      </c>
      <c r="H19" s="452" t="e">
        <f>#REF!</f>
        <v>#REF!</v>
      </c>
      <c r="I19" s="452" t="e">
        <f>#REF!</f>
        <v>#REF!</v>
      </c>
      <c r="J19" s="452" t="e">
        <f>#REF!</f>
        <v>#REF!</v>
      </c>
      <c r="K19" s="452" t="e">
        <f>#REF!</f>
        <v>#REF!</v>
      </c>
      <c r="L19" s="452"/>
      <c r="M19" s="452"/>
      <c r="N19" s="452"/>
    </row>
    <row r="20" spans="2:14" x14ac:dyDescent="0.4">
      <c r="B20" s="447" t="s">
        <v>90</v>
      </c>
      <c r="C20" s="452" t="e">
        <f>#REF!</f>
        <v>#REF!</v>
      </c>
      <c r="D20" s="452" t="e">
        <f>#REF!</f>
        <v>#REF!</v>
      </c>
      <c r="E20" s="452" t="e">
        <f>#REF!</f>
        <v>#REF!</v>
      </c>
      <c r="F20" s="452" t="e">
        <f>#REF!</f>
        <v>#REF!</v>
      </c>
      <c r="G20" s="452" t="e">
        <f>#REF!</f>
        <v>#REF!</v>
      </c>
      <c r="H20" s="452" t="e">
        <f>#REF!</f>
        <v>#REF!</v>
      </c>
      <c r="I20" s="452" t="e">
        <f>#REF!</f>
        <v>#REF!</v>
      </c>
      <c r="J20" s="452" t="e">
        <f>#REF!</f>
        <v>#REF!</v>
      </c>
      <c r="K20" s="452" t="e">
        <f>#REF!</f>
        <v>#REF!</v>
      </c>
      <c r="L20" s="452"/>
      <c r="M20" s="452"/>
      <c r="N20" s="452"/>
    </row>
    <row r="21" spans="2:14" x14ac:dyDescent="0.4">
      <c r="B21" s="447" t="s">
        <v>91</v>
      </c>
      <c r="C21" s="452" t="e">
        <f>#REF!</f>
        <v>#REF!</v>
      </c>
      <c r="D21" s="452" t="e">
        <f>#REF!</f>
        <v>#REF!</v>
      </c>
      <c r="E21" s="452" t="e">
        <f>#REF!</f>
        <v>#REF!</v>
      </c>
      <c r="F21" s="452" t="e">
        <f>#REF!</f>
        <v>#REF!</v>
      </c>
      <c r="G21" s="452" t="e">
        <f>#REF!</f>
        <v>#REF!</v>
      </c>
      <c r="H21" s="452" t="e">
        <f>#REF!</f>
        <v>#REF!</v>
      </c>
      <c r="I21" s="452" t="e">
        <f>#REF!</f>
        <v>#REF!</v>
      </c>
      <c r="J21" s="452" t="e">
        <f>#REF!</f>
        <v>#REF!</v>
      </c>
      <c r="K21" s="452" t="e">
        <f>#REF!</f>
        <v>#REF!</v>
      </c>
      <c r="L21" s="452"/>
      <c r="M21" s="452"/>
      <c r="N21" s="452"/>
    </row>
    <row r="22" spans="2:14" x14ac:dyDescent="0.4">
      <c r="B22" s="447" t="s">
        <v>103</v>
      </c>
      <c r="C22" s="452" t="e">
        <f>#REF!</f>
        <v>#REF!</v>
      </c>
      <c r="D22" s="452" t="e">
        <f>#REF!</f>
        <v>#REF!</v>
      </c>
      <c r="E22" s="452" t="e">
        <f>#REF!</f>
        <v>#REF!</v>
      </c>
      <c r="F22" s="452" t="e">
        <f>#REF!</f>
        <v>#REF!</v>
      </c>
      <c r="G22" s="452" t="e">
        <f>#REF!</f>
        <v>#REF!</v>
      </c>
      <c r="H22" s="452" t="e">
        <f>#REF!</f>
        <v>#REF!</v>
      </c>
      <c r="I22" s="452" t="e">
        <f>#REF!</f>
        <v>#REF!</v>
      </c>
      <c r="J22" s="452" t="e">
        <f>#REF!</f>
        <v>#REF!</v>
      </c>
      <c r="K22" s="452" t="e">
        <f>#REF!</f>
        <v>#REF!</v>
      </c>
      <c r="L22" s="452"/>
      <c r="M22" s="452"/>
      <c r="N22" s="452"/>
    </row>
    <row r="23" spans="2:14" x14ac:dyDescent="0.4">
      <c r="B23" s="447" t="s">
        <v>102</v>
      </c>
      <c r="C23" s="452" t="e">
        <f>#REF!</f>
        <v>#REF!</v>
      </c>
      <c r="D23" s="452" t="e">
        <f>#REF!</f>
        <v>#REF!</v>
      </c>
      <c r="E23" s="452" t="e">
        <f>#REF!</f>
        <v>#REF!</v>
      </c>
      <c r="F23" s="452" t="e">
        <f>#REF!</f>
        <v>#REF!</v>
      </c>
      <c r="G23" s="452" t="e">
        <f>#REF!</f>
        <v>#REF!</v>
      </c>
      <c r="H23" s="452" t="e">
        <f>#REF!</f>
        <v>#REF!</v>
      </c>
      <c r="I23" s="452" t="e">
        <f>#REF!</f>
        <v>#REF!</v>
      </c>
      <c r="J23" s="452" t="e">
        <f>#REF!</f>
        <v>#REF!</v>
      </c>
      <c r="K23" s="452" t="e">
        <f>#REF!</f>
        <v>#REF!</v>
      </c>
      <c r="L23" s="452"/>
      <c r="M23" s="452"/>
      <c r="N23" s="452"/>
    </row>
    <row r="24" spans="2:14" x14ac:dyDescent="0.4">
      <c r="B24" s="447" t="s">
        <v>117</v>
      </c>
      <c r="C24" s="452" t="e">
        <f>#REF!</f>
        <v>#REF!</v>
      </c>
      <c r="D24" s="452" t="e">
        <f>#REF!</f>
        <v>#REF!</v>
      </c>
      <c r="E24" s="452" t="e">
        <f>#REF!</f>
        <v>#REF!</v>
      </c>
      <c r="F24" s="452" t="e">
        <f>#REF!</f>
        <v>#REF!</v>
      </c>
      <c r="G24" s="452" t="e">
        <f>#REF!</f>
        <v>#REF!</v>
      </c>
      <c r="H24" s="452" t="e">
        <f>#REF!</f>
        <v>#REF!</v>
      </c>
      <c r="I24" s="452" t="e">
        <f>#REF!</f>
        <v>#REF!</v>
      </c>
      <c r="J24" s="452" t="e">
        <f>#REF!</f>
        <v>#REF!</v>
      </c>
      <c r="K24" s="452" t="e">
        <f>#REF!</f>
        <v>#REF!</v>
      </c>
      <c r="L24" s="452"/>
      <c r="M24" s="452"/>
      <c r="N24" s="452"/>
    </row>
    <row r="25" spans="2:14" x14ac:dyDescent="0.4">
      <c r="B25" s="447" t="s">
        <v>95</v>
      </c>
      <c r="C25" s="452" t="e">
        <f>#REF!</f>
        <v>#REF!</v>
      </c>
      <c r="D25" s="452" t="e">
        <f>#REF!</f>
        <v>#REF!</v>
      </c>
      <c r="E25" s="452" t="e">
        <f>#REF!</f>
        <v>#REF!</v>
      </c>
      <c r="F25" s="452" t="e">
        <f>#REF!</f>
        <v>#REF!</v>
      </c>
      <c r="G25" s="452" t="e">
        <f>#REF!</f>
        <v>#REF!</v>
      </c>
      <c r="H25" s="452" t="e">
        <f>#REF!</f>
        <v>#REF!</v>
      </c>
      <c r="I25" s="452" t="e">
        <f>#REF!</f>
        <v>#REF!</v>
      </c>
      <c r="J25" s="452" t="e">
        <f>#REF!</f>
        <v>#REF!</v>
      </c>
      <c r="K25" s="452" t="e">
        <f>#REF!</f>
        <v>#REF!</v>
      </c>
      <c r="L25" s="452"/>
      <c r="M25" s="452"/>
      <c r="N25" s="452"/>
    </row>
    <row r="26" spans="2:14" x14ac:dyDescent="0.4">
      <c r="B26" s="448" t="s">
        <v>124</v>
      </c>
      <c r="C26" s="449" t="s">
        <v>21</v>
      </c>
      <c r="D26" s="453" t="e">
        <f>IF($C$27-D27&lt;0,"",$C$27-D27)</f>
        <v>#REF!</v>
      </c>
      <c r="E26" s="453" t="e">
        <f t="shared" ref="E26:N26" si="4">IF($C$27-E27&lt;0,"",$C$27-E27)</f>
        <v>#REF!</v>
      </c>
      <c r="F26" s="453" t="e">
        <f t="shared" si="4"/>
        <v>#REF!</v>
      </c>
      <c r="G26" s="453" t="e">
        <f t="shared" si="4"/>
        <v>#REF!</v>
      </c>
      <c r="H26" s="453" t="e">
        <f t="shared" si="4"/>
        <v>#REF!</v>
      </c>
      <c r="I26" s="453" t="e">
        <f t="shared" si="4"/>
        <v>#REF!</v>
      </c>
      <c r="J26" s="453" t="e">
        <f t="shared" si="4"/>
        <v>#REF!</v>
      </c>
      <c r="K26" s="453" t="e">
        <f t="shared" si="4"/>
        <v>#REF!</v>
      </c>
      <c r="L26" s="453" t="e">
        <f>IF($C$27-L27&lt;0,"",$C$27-L27)</f>
        <v>#REF!</v>
      </c>
      <c r="M26" s="453" t="e">
        <f t="shared" si="4"/>
        <v>#REF!</v>
      </c>
      <c r="N26" s="453" t="e">
        <f t="shared" si="4"/>
        <v>#REF!</v>
      </c>
    </row>
    <row r="27" spans="2:14" x14ac:dyDescent="0.4">
      <c r="B27" s="25" t="s">
        <v>125</v>
      </c>
      <c r="C27" s="27" t="e">
        <f t="shared" ref="C27:N27" si="5">SUM(C19:C25)</f>
        <v>#REF!</v>
      </c>
      <c r="D27" s="27" t="e">
        <f t="shared" si="5"/>
        <v>#REF!</v>
      </c>
      <c r="E27" s="27" t="e">
        <f t="shared" si="5"/>
        <v>#REF!</v>
      </c>
      <c r="F27" s="27" t="e">
        <f t="shared" si="5"/>
        <v>#REF!</v>
      </c>
      <c r="G27" s="27" t="e">
        <f t="shared" si="5"/>
        <v>#REF!</v>
      </c>
      <c r="H27" s="27" t="e">
        <f t="shared" si="5"/>
        <v>#REF!</v>
      </c>
      <c r="I27" s="27" t="e">
        <f t="shared" si="5"/>
        <v>#REF!</v>
      </c>
      <c r="J27" s="27" t="e">
        <f t="shared" si="5"/>
        <v>#REF!</v>
      </c>
      <c r="K27" s="27" t="e">
        <f t="shared" si="5"/>
        <v>#REF!</v>
      </c>
      <c r="L27" s="27">
        <f t="shared" si="5"/>
        <v>0</v>
      </c>
      <c r="M27" s="27">
        <f t="shared" si="5"/>
        <v>0</v>
      </c>
      <c r="N27" s="27">
        <f t="shared" si="5"/>
        <v>0</v>
      </c>
    </row>
    <row r="29" spans="2:14" x14ac:dyDescent="0.4">
      <c r="B29" s="663" t="s">
        <v>128</v>
      </c>
      <c r="C29" s="450" t="s">
        <v>21</v>
      </c>
      <c r="D29" s="451">
        <f>IFERROR(1-D27/$C$27,0)</f>
        <v>0</v>
      </c>
      <c r="E29" s="451">
        <f t="shared" ref="E29:N29" si="6">IFERROR(1-E27/$C$27,0)</f>
        <v>0</v>
      </c>
      <c r="F29" s="451">
        <f t="shared" si="6"/>
        <v>0</v>
      </c>
      <c r="G29" s="451">
        <f t="shared" si="6"/>
        <v>0</v>
      </c>
      <c r="H29" s="451">
        <f t="shared" si="6"/>
        <v>0</v>
      </c>
      <c r="I29" s="451">
        <f t="shared" si="6"/>
        <v>0</v>
      </c>
      <c r="J29" s="451">
        <f t="shared" si="6"/>
        <v>0</v>
      </c>
      <c r="K29" s="451">
        <f t="shared" si="6"/>
        <v>0</v>
      </c>
      <c r="L29" s="451">
        <f t="shared" si="6"/>
        <v>0</v>
      </c>
      <c r="M29" s="451">
        <f t="shared" si="6"/>
        <v>0</v>
      </c>
      <c r="N29" s="451">
        <f t="shared" si="6"/>
        <v>0</v>
      </c>
    </row>
    <row r="30" spans="2:14" x14ac:dyDescent="0.4">
      <c r="B30" s="663"/>
      <c r="D30" s="5" t="str">
        <f>IF(D29&lt;=0,"","Cost Savings: "&amp;TEXT(D29,"0%"))</f>
        <v/>
      </c>
      <c r="E30" s="5" t="str">
        <f t="shared" ref="E30:N30" si="7">IF(E29&lt;=0,"","Cost Savings: "&amp;TEXT(E29,"0%"))</f>
        <v/>
      </c>
      <c r="F30" s="5" t="str">
        <f t="shared" si="7"/>
        <v/>
      </c>
      <c r="G30" s="5" t="str">
        <f t="shared" si="7"/>
        <v/>
      </c>
      <c r="H30" s="5" t="str">
        <f t="shared" si="7"/>
        <v/>
      </c>
      <c r="I30" s="5" t="str">
        <f t="shared" si="7"/>
        <v/>
      </c>
      <c r="J30" s="5" t="str">
        <f t="shared" si="7"/>
        <v/>
      </c>
      <c r="K30" s="5" t="str">
        <f t="shared" si="7"/>
        <v/>
      </c>
      <c r="L30" s="5" t="str">
        <f t="shared" si="7"/>
        <v/>
      </c>
      <c r="M30" s="5" t="str">
        <f t="shared" si="7"/>
        <v/>
      </c>
      <c r="N30" s="5" t="str">
        <f t="shared" si="7"/>
        <v/>
      </c>
    </row>
  </sheetData>
  <mergeCells count="4">
    <mergeCell ref="B18:N18"/>
    <mergeCell ref="B15:B16"/>
    <mergeCell ref="B29:B30"/>
    <mergeCell ref="B3:N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A3D82-80D5-4739-A325-DD5496763C8E}">
  <sheetPr>
    <tabColor theme="1"/>
  </sheetPr>
  <dimension ref="A2:X192"/>
  <sheetViews>
    <sheetView zoomScale="60" zoomScaleNormal="60" workbookViewId="0">
      <selection activeCell="W74" sqref="W74"/>
    </sheetView>
  </sheetViews>
  <sheetFormatPr defaultRowHeight="12.45" x14ac:dyDescent="0.3"/>
  <sheetData>
    <row r="2" spans="1:7" ht="15" x14ac:dyDescent="0.3">
      <c r="A2" s="171" t="s">
        <v>129</v>
      </c>
    </row>
    <row r="4" spans="1:7" ht="15" x14ac:dyDescent="0.3">
      <c r="G4" s="170" t="s">
        <v>130</v>
      </c>
    </row>
    <row r="20" spans="1:1" ht="15" x14ac:dyDescent="0.3">
      <c r="A20" s="171" t="s">
        <v>131</v>
      </c>
    </row>
    <row r="37" spans="1:1" ht="15" x14ac:dyDescent="0.3">
      <c r="A37" s="171" t="s">
        <v>132</v>
      </c>
    </row>
    <row r="54" spans="1:24" x14ac:dyDescent="0.3">
      <c r="A54" s="172" t="s">
        <v>133</v>
      </c>
      <c r="M54" t="s">
        <v>134</v>
      </c>
      <c r="V54" t="s">
        <v>135</v>
      </c>
      <c r="X54" t="s">
        <v>136</v>
      </c>
    </row>
    <row r="73" spans="1:13" x14ac:dyDescent="0.3">
      <c r="A73" s="172" t="s">
        <v>137</v>
      </c>
    </row>
    <row r="74" spans="1:13" x14ac:dyDescent="0.3">
      <c r="M74" t="s">
        <v>138</v>
      </c>
    </row>
    <row r="92" spans="1:1" x14ac:dyDescent="0.3">
      <c r="A92" s="172"/>
    </row>
    <row r="112" spans="1:1" x14ac:dyDescent="0.3">
      <c r="A112" s="172" t="s">
        <v>139</v>
      </c>
    </row>
    <row r="144" spans="1:1" x14ac:dyDescent="0.3">
      <c r="A144" s="173" t="s">
        <v>140</v>
      </c>
    </row>
    <row r="146" spans="2:2" x14ac:dyDescent="0.3">
      <c r="B146" s="172" t="s">
        <v>141</v>
      </c>
    </row>
    <row r="171" spans="1:6" x14ac:dyDescent="0.3">
      <c r="C171" s="172" t="s">
        <v>142</v>
      </c>
      <c r="E171">
        <f>2.2</f>
        <v>2.2000000000000002</v>
      </c>
      <c r="F171" s="172" t="s">
        <v>2</v>
      </c>
    </row>
    <row r="172" spans="1:6" x14ac:dyDescent="0.3">
      <c r="C172" t="s">
        <v>143</v>
      </c>
      <c r="E172">
        <f>0.9+0.1+0.3+0.8+5.3+0.6+1.6</f>
        <v>9.6</v>
      </c>
      <c r="F172" t="s">
        <v>2</v>
      </c>
    </row>
    <row r="173" spans="1:6" x14ac:dyDescent="0.3">
      <c r="C173" s="172" t="s">
        <v>91</v>
      </c>
      <c r="E173">
        <f>3.5+0.7</f>
        <v>4.2</v>
      </c>
    </row>
    <row r="174" spans="1:6" x14ac:dyDescent="0.3">
      <c r="A174" s="172" t="s">
        <v>144</v>
      </c>
      <c r="B174" t="s">
        <v>145</v>
      </c>
    </row>
    <row r="175" spans="1:6" x14ac:dyDescent="0.3">
      <c r="A175" s="172" t="s">
        <v>146</v>
      </c>
      <c r="B175" t="s">
        <v>147</v>
      </c>
    </row>
    <row r="181" spans="1:4" x14ac:dyDescent="0.3">
      <c r="B181" t="s">
        <v>148</v>
      </c>
    </row>
    <row r="182" spans="1:4" x14ac:dyDescent="0.3">
      <c r="B182">
        <f>12*5100</f>
        <v>61200</v>
      </c>
      <c r="C182" t="s">
        <v>118</v>
      </c>
    </row>
    <row r="183" spans="1:4" x14ac:dyDescent="0.3">
      <c r="B183">
        <f>B182/860</f>
        <v>71.162790697674424</v>
      </c>
    </row>
    <row r="186" spans="1:4" x14ac:dyDescent="0.3">
      <c r="A186" s="172"/>
    </row>
    <row r="187" spans="1:4" x14ac:dyDescent="0.3">
      <c r="B187" s="172"/>
    </row>
    <row r="189" spans="1:4" x14ac:dyDescent="0.3">
      <c r="A189" s="172" t="s">
        <v>149</v>
      </c>
    </row>
    <row r="190" spans="1:4" x14ac:dyDescent="0.3">
      <c r="B190" s="178">
        <v>0.33</v>
      </c>
    </row>
    <row r="191" spans="1:4" x14ac:dyDescent="0.3">
      <c r="A191" s="172" t="s">
        <v>150</v>
      </c>
      <c r="B191" s="99">
        <v>0.5</v>
      </c>
      <c r="C191" s="99">
        <v>0.25</v>
      </c>
      <c r="D191" s="99">
        <v>0.25</v>
      </c>
    </row>
    <row r="192" spans="1:4" x14ac:dyDescent="0.3">
      <c r="B192" s="99">
        <v>0.25</v>
      </c>
    </row>
  </sheetData>
  <pageMargins left="0.7" right="0.7" top="0.75" bottom="0.75" header="0.3" footer="0.3"/>
  <pageSetup paperSize="256"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6227A-C258-47BD-85DD-C8B7422A7F88}">
  <dimension ref="A2:M134"/>
  <sheetViews>
    <sheetView zoomScale="42" zoomScaleNormal="115" workbookViewId="0">
      <selection activeCell="K129" sqref="K129"/>
    </sheetView>
  </sheetViews>
  <sheetFormatPr defaultColWidth="9.3046875" defaultRowHeight="14.6" x14ac:dyDescent="0.4"/>
  <cols>
    <col min="1" max="1" width="37.53515625" style="166" bestFit="1" customWidth="1"/>
    <col min="2" max="16384" width="9.3046875" style="166"/>
  </cols>
  <sheetData>
    <row r="2" spans="1:11" x14ac:dyDescent="0.4">
      <c r="A2" s="166" t="s">
        <v>151</v>
      </c>
      <c r="C2" s="166" t="s">
        <v>152</v>
      </c>
      <c r="G2" s="166" t="s">
        <v>153</v>
      </c>
    </row>
    <row r="3" spans="1:11" x14ac:dyDescent="0.4">
      <c r="C3" s="166" t="s">
        <v>154</v>
      </c>
      <c r="G3" s="166" t="s">
        <v>155</v>
      </c>
    </row>
    <row r="4" spans="1:11" x14ac:dyDescent="0.4">
      <c r="C4" s="166" t="s">
        <v>156</v>
      </c>
      <c r="G4" s="166" t="s">
        <v>157</v>
      </c>
    </row>
    <row r="5" spans="1:11" x14ac:dyDescent="0.4">
      <c r="C5" s="166" t="s">
        <v>158</v>
      </c>
      <c r="G5" s="166" t="s">
        <v>159</v>
      </c>
    </row>
    <row r="6" spans="1:11" x14ac:dyDescent="0.4">
      <c r="C6" s="166" t="s">
        <v>160</v>
      </c>
      <c r="G6" s="166" t="s">
        <v>161</v>
      </c>
    </row>
    <row r="7" spans="1:11" x14ac:dyDescent="0.4">
      <c r="C7" s="166" t="s">
        <v>162</v>
      </c>
      <c r="G7" s="166" t="s">
        <v>163</v>
      </c>
      <c r="H7" s="166" t="s">
        <v>164</v>
      </c>
    </row>
    <row r="9" spans="1:11" x14ac:dyDescent="0.4">
      <c r="G9" s="166" t="s">
        <v>165</v>
      </c>
    </row>
    <row r="10" spans="1:11" x14ac:dyDescent="0.4">
      <c r="G10" s="166" t="s">
        <v>166</v>
      </c>
      <c r="J10" s="166">
        <f>1500/3</f>
        <v>500</v>
      </c>
      <c r="K10" s="166" t="s">
        <v>167</v>
      </c>
    </row>
    <row r="11" spans="1:11" x14ac:dyDescent="0.4">
      <c r="G11" s="166" t="s">
        <v>168</v>
      </c>
      <c r="J11" s="169">
        <f>J10*500</f>
        <v>250000</v>
      </c>
      <c r="K11" s="169" t="s">
        <v>169</v>
      </c>
    </row>
    <row r="12" spans="1:11" x14ac:dyDescent="0.4">
      <c r="J12" s="169">
        <f>J11/43560</f>
        <v>5.7392102846648303</v>
      </c>
      <c r="K12" s="169" t="s">
        <v>170</v>
      </c>
    </row>
    <row r="13" spans="1:11" x14ac:dyDescent="0.4">
      <c r="G13" s="166" t="s">
        <v>171</v>
      </c>
      <c r="K13" s="166" t="s">
        <v>172</v>
      </c>
    </row>
    <row r="14" spans="1:11" x14ac:dyDescent="0.4">
      <c r="G14" s="166" t="s">
        <v>173</v>
      </c>
    </row>
    <row r="15" spans="1:11" x14ac:dyDescent="0.4">
      <c r="B15" s="166" t="s">
        <v>174</v>
      </c>
      <c r="C15" s="166" t="s">
        <v>175</v>
      </c>
    </row>
    <row r="17" spans="2:13" x14ac:dyDescent="0.4">
      <c r="B17" s="166" t="s">
        <v>176</v>
      </c>
      <c r="M17" s="166" t="s">
        <v>177</v>
      </c>
    </row>
    <row r="42" spans="2:13" x14ac:dyDescent="0.4">
      <c r="B42" s="166" t="s">
        <v>178</v>
      </c>
      <c r="G42" s="166" t="s">
        <v>179</v>
      </c>
    </row>
    <row r="43" spans="2:13" x14ac:dyDescent="0.4">
      <c r="B43" s="166" t="s">
        <v>180</v>
      </c>
      <c r="G43" s="166" t="s">
        <v>181</v>
      </c>
    </row>
    <row r="45" spans="2:13" x14ac:dyDescent="0.4">
      <c r="C45" s="166" t="s">
        <v>182</v>
      </c>
      <c r="H45" s="166" t="s">
        <v>183</v>
      </c>
    </row>
    <row r="46" spans="2:13" x14ac:dyDescent="0.4">
      <c r="C46" s="166" t="s">
        <v>184</v>
      </c>
    </row>
    <row r="47" spans="2:13" x14ac:dyDescent="0.4">
      <c r="C47" s="166" t="s">
        <v>185</v>
      </c>
      <c r="H47" s="166" t="s">
        <v>186</v>
      </c>
      <c r="M47" s="166" t="s">
        <v>187</v>
      </c>
    </row>
    <row r="48" spans="2:13" x14ac:dyDescent="0.4">
      <c r="H48" s="166" t="s">
        <v>188</v>
      </c>
    </row>
    <row r="49" spans="8:11" x14ac:dyDescent="0.4">
      <c r="H49" s="166" t="s">
        <v>189</v>
      </c>
    </row>
    <row r="51" spans="8:11" x14ac:dyDescent="0.4">
      <c r="H51" s="166" t="s">
        <v>190</v>
      </c>
    </row>
    <row r="52" spans="8:11" x14ac:dyDescent="0.4">
      <c r="I52" s="166" t="s">
        <v>191</v>
      </c>
    </row>
    <row r="53" spans="8:11" x14ac:dyDescent="0.4">
      <c r="I53" s="166" t="s">
        <v>192</v>
      </c>
      <c r="J53" s="166" t="s">
        <v>193</v>
      </c>
      <c r="K53" s="166" t="s">
        <v>194</v>
      </c>
    </row>
    <row r="54" spans="8:11" x14ac:dyDescent="0.4">
      <c r="H54" s="166" t="s">
        <v>195</v>
      </c>
    </row>
    <row r="55" spans="8:11" x14ac:dyDescent="0.4">
      <c r="I55" s="166" t="s">
        <v>196</v>
      </c>
    </row>
    <row r="56" spans="8:11" x14ac:dyDescent="0.4">
      <c r="I56" s="166" t="s">
        <v>197</v>
      </c>
    </row>
    <row r="57" spans="8:11" x14ac:dyDescent="0.4">
      <c r="I57" s="166" t="s">
        <v>198</v>
      </c>
    </row>
    <row r="58" spans="8:11" x14ac:dyDescent="0.4">
      <c r="I58" s="166" t="s">
        <v>199</v>
      </c>
    </row>
    <row r="60" spans="8:11" x14ac:dyDescent="0.4">
      <c r="H60" s="166" t="s">
        <v>200</v>
      </c>
    </row>
    <row r="63" spans="8:11" x14ac:dyDescent="0.4">
      <c r="I63" s="166" t="s">
        <v>201</v>
      </c>
    </row>
    <row r="64" spans="8:11" x14ac:dyDescent="0.4">
      <c r="I64" s="166" t="s">
        <v>202</v>
      </c>
    </row>
    <row r="65" spans="3:11" x14ac:dyDescent="0.4">
      <c r="J65" s="166" t="s">
        <v>203</v>
      </c>
      <c r="K65" s="166" t="s">
        <v>204</v>
      </c>
    </row>
    <row r="70" spans="3:11" x14ac:dyDescent="0.4">
      <c r="C70" s="166" t="s">
        <v>205</v>
      </c>
    </row>
    <row r="71" spans="3:11" x14ac:dyDescent="0.4">
      <c r="C71" s="168"/>
    </row>
    <row r="72" spans="3:11" x14ac:dyDescent="0.4">
      <c r="C72" s="168" t="s">
        <v>206</v>
      </c>
    </row>
    <row r="73" spans="3:11" x14ac:dyDescent="0.4">
      <c r="C73" s="167" t="s">
        <v>207</v>
      </c>
    </row>
    <row r="74" spans="3:11" x14ac:dyDescent="0.4">
      <c r="C74" s="168" t="s">
        <v>208</v>
      </c>
    </row>
    <row r="75" spans="3:11" x14ac:dyDescent="0.4">
      <c r="C75" s="167" t="s">
        <v>209</v>
      </c>
    </row>
    <row r="76" spans="3:11" x14ac:dyDescent="0.4">
      <c r="C76" s="167" t="s">
        <v>210</v>
      </c>
    </row>
    <row r="77" spans="3:11" x14ac:dyDescent="0.4">
      <c r="C77" s="167" t="s">
        <v>211</v>
      </c>
    </row>
    <row r="80" spans="3:11" x14ac:dyDescent="0.4">
      <c r="C80" s="167" t="s">
        <v>212</v>
      </c>
    </row>
    <row r="81" spans="1:4" x14ac:dyDescent="0.4">
      <c r="D81" s="166" t="s">
        <v>213</v>
      </c>
    </row>
    <row r="82" spans="1:4" x14ac:dyDescent="0.4">
      <c r="D82" s="166" t="s">
        <v>214</v>
      </c>
    </row>
    <row r="84" spans="1:4" x14ac:dyDescent="0.4">
      <c r="A84" s="166" t="s">
        <v>215</v>
      </c>
      <c r="B84" s="166" t="s">
        <v>216</v>
      </c>
      <c r="D84" s="166" t="s">
        <v>217</v>
      </c>
    </row>
    <row r="85" spans="1:4" x14ac:dyDescent="0.4">
      <c r="B85" s="166" t="s">
        <v>218</v>
      </c>
      <c r="D85" s="166" t="s">
        <v>219</v>
      </c>
    </row>
    <row r="86" spans="1:4" x14ac:dyDescent="0.4">
      <c r="B86" s="166" t="s">
        <v>220</v>
      </c>
    </row>
    <row r="87" spans="1:4" x14ac:dyDescent="0.4">
      <c r="B87" s="174"/>
    </row>
    <row r="88" spans="1:4" x14ac:dyDescent="0.4">
      <c r="B88" s="166" t="s">
        <v>221</v>
      </c>
    </row>
    <row r="89" spans="1:4" x14ac:dyDescent="0.4">
      <c r="B89" s="166" t="s">
        <v>222</v>
      </c>
    </row>
    <row r="90" spans="1:4" x14ac:dyDescent="0.4">
      <c r="B90" s="166" t="s">
        <v>223</v>
      </c>
    </row>
    <row r="119" spans="1:8" x14ac:dyDescent="0.4">
      <c r="A119" s="304">
        <v>45476</v>
      </c>
      <c r="B119" s="454" t="s">
        <v>224</v>
      </c>
      <c r="H119" s="454" t="s">
        <v>225</v>
      </c>
    </row>
    <row r="121" spans="1:8" x14ac:dyDescent="0.4">
      <c r="C121" s="303" t="s">
        <v>226</v>
      </c>
    </row>
    <row r="122" spans="1:8" x14ac:dyDescent="0.4">
      <c r="C122" s="303"/>
      <c r="E122" s="454" t="s">
        <v>227</v>
      </c>
      <c r="H122" s="454" t="s">
        <v>228</v>
      </c>
    </row>
    <row r="123" spans="1:8" x14ac:dyDescent="0.4">
      <c r="E123" s="454" t="s">
        <v>229</v>
      </c>
      <c r="H123" s="454" t="s">
        <v>230</v>
      </c>
    </row>
    <row r="124" spans="1:8" x14ac:dyDescent="0.4">
      <c r="H124" s="454" t="s">
        <v>231</v>
      </c>
    </row>
    <row r="125" spans="1:8" x14ac:dyDescent="0.4">
      <c r="E125" s="454" t="s">
        <v>152</v>
      </c>
    </row>
    <row r="128" spans="1:8" x14ac:dyDescent="0.4">
      <c r="C128" s="303" t="s">
        <v>232</v>
      </c>
    </row>
    <row r="134" spans="3:3" x14ac:dyDescent="0.4">
      <c r="C134" s="303" t="s">
        <v>233</v>
      </c>
    </row>
  </sheetData>
  <pageMargins left="0.7" right="0.7" top="0.75" bottom="0.75" header="0.3" footer="0.3"/>
  <pageSetup paperSize="256"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A88AB-CD41-41DB-90AC-074E81FD6BA1}">
  <sheetPr>
    <tabColor rgb="FFFFFF00"/>
  </sheetPr>
  <dimension ref="A1:P24"/>
  <sheetViews>
    <sheetView zoomScale="58" zoomScaleNormal="78" workbookViewId="0">
      <selection activeCell="D50" sqref="A46:D50"/>
    </sheetView>
  </sheetViews>
  <sheetFormatPr defaultColWidth="9.3046875" defaultRowHeight="14.6" x14ac:dyDescent="0.4"/>
  <cols>
    <col min="1" max="1" width="18.69140625" style="284" bestFit="1" customWidth="1"/>
    <col min="2" max="2" width="21.69140625" style="284" bestFit="1" customWidth="1"/>
    <col min="3" max="3" width="25.3828125" style="284" bestFit="1" customWidth="1"/>
    <col min="4" max="4" width="13.53515625" style="284" bestFit="1" customWidth="1"/>
    <col min="5" max="5" width="9.3046875" style="284"/>
    <col min="6" max="6" width="26.15234375" style="284" customWidth="1"/>
    <col min="7" max="7" width="16.53515625" style="284" bestFit="1" customWidth="1"/>
    <col min="8" max="8" width="13.15234375" style="285" bestFit="1" customWidth="1"/>
    <col min="9" max="9" width="9.3046875" style="284"/>
    <col min="10" max="10" width="21.15234375" style="284" customWidth="1"/>
    <col min="11" max="11" width="27.15234375" style="284" bestFit="1" customWidth="1"/>
    <col min="12" max="12" width="13.53515625" style="284" bestFit="1" customWidth="1"/>
    <col min="13" max="13" width="9.3046875" style="284"/>
    <col min="14" max="14" width="23.15234375" style="284" bestFit="1" customWidth="1"/>
    <col min="15" max="15" width="19.69140625" style="284" bestFit="1" customWidth="1"/>
    <col min="16" max="16" width="13.53515625" style="285" bestFit="1" customWidth="1"/>
    <col min="17" max="16384" width="9.3046875" style="284"/>
  </cols>
  <sheetData>
    <row r="1" spans="1:16" x14ac:dyDescent="0.4">
      <c r="A1" s="284" t="s">
        <v>347</v>
      </c>
      <c r="B1" s="284" t="s">
        <v>348</v>
      </c>
      <c r="C1" s="284" t="s">
        <v>349</v>
      </c>
      <c r="D1" s="285" t="s">
        <v>120</v>
      </c>
      <c r="F1" s="284" t="s">
        <v>350</v>
      </c>
      <c r="G1" s="284" t="s">
        <v>351</v>
      </c>
      <c r="H1" s="285" t="s">
        <v>120</v>
      </c>
      <c r="J1" s="284" t="s">
        <v>352</v>
      </c>
      <c r="K1" s="284" t="s">
        <v>353</v>
      </c>
      <c r="L1" s="284" t="s">
        <v>120</v>
      </c>
      <c r="N1" s="284" t="s">
        <v>354</v>
      </c>
      <c r="O1" s="284" t="s">
        <v>355</v>
      </c>
      <c r="P1" s="285" t="s">
        <v>120</v>
      </c>
    </row>
    <row r="2" spans="1:16" x14ac:dyDescent="0.4">
      <c r="A2" s="295" t="s">
        <v>356</v>
      </c>
      <c r="B2" s="292">
        <v>1446.2813799999999</v>
      </c>
      <c r="C2" s="292">
        <v>13922.51778</v>
      </c>
      <c r="D2" s="285">
        <f t="shared" ref="D2:D13" si="0">(C2*$B$17)+(B2*$B$18)</f>
        <v>195.26446227999998</v>
      </c>
      <c r="E2" s="292"/>
      <c r="F2" s="292">
        <f>B2*(1-'PV Production Ratio'!C2)</f>
        <v>875.38083526315779</v>
      </c>
      <c r="G2" s="292">
        <f t="shared" ref="G2:G13" si="1">C2</f>
        <v>13922.51778</v>
      </c>
      <c r="H2" s="285">
        <f t="shared" ref="H2:H13" si="2">IF(F2&lt;0,(G2*$B$17)+(F2*$B$19),(G2*$B$17)+(F2*$B$18))</f>
        <v>162.15223068526316</v>
      </c>
      <c r="J2" s="292">
        <f>B2</f>
        <v>1446.2813799999999</v>
      </c>
      <c r="K2" s="292">
        <f t="shared" ref="K2:K13" si="3">550+((C2-550)/$B$23)</f>
        <v>3521.6706177777778</v>
      </c>
      <c r="L2" s="285">
        <f t="shared" ref="L2:L13" si="4">((J2+(K2-550))*$B$18)+(550*$B$17)</f>
        <v>260.64121587111111</v>
      </c>
      <c r="N2" s="292">
        <f t="shared" ref="N2:N13" si="5">J2-(B2-F2)</f>
        <v>875.38083526315779</v>
      </c>
      <c r="O2" s="292">
        <f t="shared" ref="O2:O14" si="6">K2</f>
        <v>3521.6706177777778</v>
      </c>
      <c r="P2" s="285">
        <f t="shared" ref="P2:P13" si="7">IF(N2+O2&lt;0,((N2+(O2-550))*$B$19)+((550*$B$17)),((N2+(O2-550))*$B$18)+(550*$B$17))</f>
        <v>227.52898427637427</v>
      </c>
    </row>
    <row r="3" spans="1:16" x14ac:dyDescent="0.4">
      <c r="A3" s="295" t="s">
        <v>357</v>
      </c>
      <c r="B3" s="292">
        <v>1305.791905</v>
      </c>
      <c r="C3" s="292">
        <v>10503.076290000001</v>
      </c>
      <c r="D3" s="285">
        <f t="shared" si="0"/>
        <v>159.76054081000001</v>
      </c>
      <c r="E3" s="292"/>
      <c r="F3" s="292">
        <f>B3*(1-'PV Production Ratio'!C3)</f>
        <v>629.27142790296057</v>
      </c>
      <c r="G3" s="292">
        <f t="shared" si="1"/>
        <v>10503.076290000001</v>
      </c>
      <c r="H3" s="285">
        <f t="shared" si="2"/>
        <v>120.52235313837173</v>
      </c>
      <c r="J3" s="292">
        <f>B3</f>
        <v>1305.791905</v>
      </c>
      <c r="K3" s="292">
        <f t="shared" si="3"/>
        <v>2761.7947311111111</v>
      </c>
      <c r="L3" s="285">
        <f t="shared" si="4"/>
        <v>208.42002489444445</v>
      </c>
      <c r="N3" s="292">
        <f t="shared" si="5"/>
        <v>629.27142790296057</v>
      </c>
      <c r="O3" s="292">
        <f t="shared" si="6"/>
        <v>2761.7947311111111</v>
      </c>
      <c r="P3" s="285">
        <f t="shared" si="7"/>
        <v>169.18183722281617</v>
      </c>
    </row>
    <row r="4" spans="1:16" x14ac:dyDescent="0.4">
      <c r="A4" s="295" t="s">
        <v>358</v>
      </c>
      <c r="B4" s="292">
        <v>1415.1926289999999</v>
      </c>
      <c r="C4" s="292">
        <v>8032.8341229999996</v>
      </c>
      <c r="D4" s="285">
        <f t="shared" si="0"/>
        <v>146.343845466</v>
      </c>
      <c r="E4" s="292"/>
      <c r="F4" s="292">
        <f>B4*(1-'PV Production Ratio'!C4)</f>
        <v>358.45339616118417</v>
      </c>
      <c r="G4" s="292">
        <f t="shared" si="1"/>
        <v>8032.8341229999996</v>
      </c>
      <c r="H4" s="285">
        <f t="shared" si="2"/>
        <v>85.05296996134868</v>
      </c>
      <c r="J4" s="292">
        <f>B4</f>
        <v>1415.1926289999999</v>
      </c>
      <c r="K4" s="292">
        <f t="shared" si="3"/>
        <v>2212.8520273333334</v>
      </c>
      <c r="L4" s="285">
        <f t="shared" si="4"/>
        <v>182.92659006733336</v>
      </c>
      <c r="N4" s="292">
        <f t="shared" si="5"/>
        <v>358.45339616118417</v>
      </c>
      <c r="O4" s="292">
        <f t="shared" si="6"/>
        <v>2212.8520273333334</v>
      </c>
      <c r="P4" s="285">
        <f t="shared" si="7"/>
        <v>121.63571456268203</v>
      </c>
    </row>
    <row r="5" spans="1:16" x14ac:dyDescent="0.4">
      <c r="A5" s="295" t="s">
        <v>359</v>
      </c>
      <c r="B5" s="292">
        <v>1321.4173040000001</v>
      </c>
      <c r="C5" s="292">
        <v>5456.7778669999998</v>
      </c>
      <c r="D5" s="285">
        <f t="shared" si="0"/>
        <v>120.296426568</v>
      </c>
      <c r="E5" s="292"/>
      <c r="F5" s="292">
        <f>B5*(1-'PV Production Ratio'!C5)</f>
        <v>215.16498864473681</v>
      </c>
      <c r="G5" s="292">
        <f t="shared" si="1"/>
        <v>5456.7778669999998</v>
      </c>
      <c r="H5" s="285">
        <f t="shared" si="2"/>
        <v>56.133792277394733</v>
      </c>
      <c r="J5" s="296">
        <f t="shared" ref="J5:J10" si="8">B5/($B$22/$B$21)</f>
        <v>550.59054333333336</v>
      </c>
      <c r="K5" s="292">
        <f t="shared" si="3"/>
        <v>1640.3950815555554</v>
      </c>
      <c r="L5" s="285">
        <f t="shared" si="4"/>
        <v>99.577166243555553</v>
      </c>
      <c r="N5" s="296">
        <f t="shared" si="5"/>
        <v>-555.66177202193001</v>
      </c>
      <c r="O5" s="292">
        <f t="shared" si="6"/>
        <v>1640.3950815555554</v>
      </c>
      <c r="P5" s="285">
        <f t="shared" si="7"/>
        <v>35.414531952950277</v>
      </c>
    </row>
    <row r="6" spans="1:16" x14ac:dyDescent="0.4">
      <c r="A6" s="295" t="s">
        <v>360</v>
      </c>
      <c r="B6" s="292">
        <v>1579.575711</v>
      </c>
      <c r="C6" s="292">
        <v>1945.636841</v>
      </c>
      <c r="D6" s="285">
        <f t="shared" si="0"/>
        <v>107.18048596600001</v>
      </c>
      <c r="E6" s="292"/>
      <c r="F6" s="292">
        <f>B6*(1-'PV Production Ratio'!C6)</f>
        <v>166.2711274736842</v>
      </c>
      <c r="G6" s="292">
        <f t="shared" si="1"/>
        <v>1945.636841</v>
      </c>
      <c r="H6" s="285">
        <f t="shared" si="2"/>
        <v>25.208820121473686</v>
      </c>
      <c r="J6" s="296">
        <f t="shared" si="8"/>
        <v>658.15654625000002</v>
      </c>
      <c r="K6" s="292">
        <f t="shared" si="3"/>
        <v>860.1415202222222</v>
      </c>
      <c r="L6" s="285">
        <f t="shared" si="4"/>
        <v>60.56128785538889</v>
      </c>
      <c r="N6" s="296">
        <f t="shared" si="5"/>
        <v>-755.14803727631579</v>
      </c>
      <c r="O6" s="292">
        <f t="shared" si="6"/>
        <v>860.1415202222222</v>
      </c>
      <c r="P6" s="285">
        <f t="shared" si="7"/>
        <v>-21.41037798913743</v>
      </c>
    </row>
    <row r="7" spans="1:16" x14ac:dyDescent="0.4">
      <c r="A7" s="295" t="s">
        <v>361</v>
      </c>
      <c r="B7" s="292">
        <v>2128.4328850000002</v>
      </c>
      <c r="C7" s="292">
        <v>1007.881274</v>
      </c>
      <c r="D7" s="285">
        <f t="shared" si="0"/>
        <v>131.51215752200002</v>
      </c>
      <c r="E7" s="292"/>
      <c r="F7" s="292">
        <f>B7*(1-'PV Production Ratio'!C7)</f>
        <v>49.009967746710508</v>
      </c>
      <c r="G7" s="292">
        <f t="shared" si="1"/>
        <v>1007.881274</v>
      </c>
      <c r="H7" s="285">
        <f t="shared" si="2"/>
        <v>10.90562832130921</v>
      </c>
      <c r="J7" s="296">
        <f t="shared" si="8"/>
        <v>886.84703541666681</v>
      </c>
      <c r="K7" s="292">
        <f t="shared" si="3"/>
        <v>651.75139422222219</v>
      </c>
      <c r="L7" s="285">
        <f t="shared" si="4"/>
        <v>61.738708919055561</v>
      </c>
      <c r="N7" s="296">
        <f t="shared" si="5"/>
        <v>-1192.5758818366228</v>
      </c>
      <c r="O7" s="292">
        <f t="shared" si="6"/>
        <v>651.75139422222219</v>
      </c>
      <c r="P7" s="285">
        <f t="shared" si="7"/>
        <v>-44.687101942648027</v>
      </c>
    </row>
    <row r="8" spans="1:16" x14ac:dyDescent="0.4">
      <c r="A8" s="295" t="s">
        <v>362</v>
      </c>
      <c r="B8" s="292">
        <v>2506.7610209999998</v>
      </c>
      <c r="C8" s="292">
        <v>887.71620210000003</v>
      </c>
      <c r="D8" s="285">
        <f t="shared" si="0"/>
        <v>152.49386883479997</v>
      </c>
      <c r="E8" s="292"/>
      <c r="F8" s="292">
        <f>B8*(1-'PV Production Ratio'!C8)</f>
        <v>0</v>
      </c>
      <c r="G8" s="292">
        <f t="shared" si="1"/>
        <v>887.71620210000003</v>
      </c>
      <c r="H8" s="285">
        <f t="shared" si="2"/>
        <v>7.1017296168000001</v>
      </c>
      <c r="J8" s="296">
        <f t="shared" si="8"/>
        <v>1044.4837587499999</v>
      </c>
      <c r="K8" s="292">
        <f t="shared" si="3"/>
        <v>625.04804491111111</v>
      </c>
      <c r="L8" s="285">
        <f t="shared" si="4"/>
        <v>69.332844612344459</v>
      </c>
      <c r="N8" s="296">
        <f t="shared" si="5"/>
        <v>-1462.2772622499999</v>
      </c>
      <c r="O8" s="292">
        <f t="shared" si="6"/>
        <v>625.04804491111111</v>
      </c>
      <c r="P8" s="285">
        <f t="shared" si="7"/>
        <v>-58.025314780249992</v>
      </c>
    </row>
    <row r="9" spans="1:16" x14ac:dyDescent="0.4">
      <c r="A9" s="295" t="s">
        <v>363</v>
      </c>
      <c r="B9" s="292">
        <v>2311.09663</v>
      </c>
      <c r="C9" s="292">
        <v>928.5935561</v>
      </c>
      <c r="D9" s="285">
        <f t="shared" si="0"/>
        <v>141.47235298880003</v>
      </c>
      <c r="E9" s="292"/>
      <c r="F9" s="292">
        <f>B9*(1-'PV Production Ratio'!C9)</f>
        <v>266.08020411184225</v>
      </c>
      <c r="G9" s="292">
        <f t="shared" si="1"/>
        <v>928.5935561</v>
      </c>
      <c r="H9" s="285">
        <f t="shared" si="2"/>
        <v>22.861400287286852</v>
      </c>
      <c r="J9" s="296">
        <f t="shared" si="8"/>
        <v>962.95692916666667</v>
      </c>
      <c r="K9" s="292">
        <f t="shared" si="3"/>
        <v>634.13190135555556</v>
      </c>
      <c r="L9" s="285">
        <f t="shared" si="4"/>
        <v>65.1311521702889</v>
      </c>
      <c r="N9" s="296">
        <f t="shared" si="5"/>
        <v>-1082.0594967214911</v>
      </c>
      <c r="O9" s="292">
        <f t="shared" si="6"/>
        <v>634.13190135555556</v>
      </c>
      <c r="P9" s="285">
        <f t="shared" si="7"/>
        <v>-40.5067417914671</v>
      </c>
    </row>
    <row r="10" spans="1:16" x14ac:dyDescent="0.4">
      <c r="A10" s="295" t="s">
        <v>364</v>
      </c>
      <c r="B10" s="292">
        <v>1544.3856089999999</v>
      </c>
      <c r="C10" s="292">
        <v>1510.6900450000001</v>
      </c>
      <c r="D10" s="285">
        <f t="shared" si="0"/>
        <v>101.65988568200001</v>
      </c>
      <c r="E10" s="292"/>
      <c r="F10" s="292">
        <f>B10*(1-'PV Production Ratio'!C10)</f>
        <v>302.27284123519735</v>
      </c>
      <c r="G10" s="292">
        <f t="shared" si="1"/>
        <v>1510.6900450000001</v>
      </c>
      <c r="H10" s="285">
        <f t="shared" si="2"/>
        <v>29.617345151641448</v>
      </c>
      <c r="J10" s="296">
        <f t="shared" si="8"/>
        <v>643.49400375000005</v>
      </c>
      <c r="K10" s="292">
        <f t="shared" si="3"/>
        <v>763.48667666666665</v>
      </c>
      <c r="L10" s="285">
        <f t="shared" si="4"/>
        <v>54.104879464166672</v>
      </c>
      <c r="N10" s="296">
        <f t="shared" si="5"/>
        <v>-598.61876401480254</v>
      </c>
      <c r="O10" s="292">
        <f t="shared" si="6"/>
        <v>763.48667666666665</v>
      </c>
      <c r="P10" s="285">
        <f t="shared" si="7"/>
        <v>-17.937661066191879</v>
      </c>
    </row>
    <row r="11" spans="1:16" x14ac:dyDescent="0.4">
      <c r="A11" s="295" t="s">
        <v>365</v>
      </c>
      <c r="B11" s="292">
        <v>1285.702419</v>
      </c>
      <c r="C11" s="292">
        <v>4247.4443369999999</v>
      </c>
      <c r="D11" s="285">
        <f t="shared" si="0"/>
        <v>108.550294998</v>
      </c>
      <c r="E11" s="292"/>
      <c r="F11" s="292">
        <f>B11*(1-'PV Production Ratio'!C11)</f>
        <v>537.11910267434212</v>
      </c>
      <c r="G11" s="292">
        <f t="shared" si="1"/>
        <v>4247.4443369999999</v>
      </c>
      <c r="H11" s="285">
        <f t="shared" si="2"/>
        <v>65.132462651111837</v>
      </c>
      <c r="J11" s="292">
        <f>B11</f>
        <v>1285.702419</v>
      </c>
      <c r="K11" s="292">
        <f t="shared" si="3"/>
        <v>1371.6542971111112</v>
      </c>
      <c r="L11" s="285">
        <f t="shared" si="4"/>
        <v>126.62668953444447</v>
      </c>
      <c r="N11" s="292">
        <f t="shared" si="5"/>
        <v>537.11910267434212</v>
      </c>
      <c r="O11" s="292">
        <f t="shared" si="6"/>
        <v>1371.6542971111112</v>
      </c>
      <c r="P11" s="285">
        <f t="shared" si="7"/>
        <v>83.208857187556305</v>
      </c>
    </row>
    <row r="12" spans="1:16" x14ac:dyDescent="0.4">
      <c r="A12" s="295" t="s">
        <v>366</v>
      </c>
      <c r="B12" s="292">
        <v>1313.397541</v>
      </c>
      <c r="C12" s="292">
        <v>7102.7053749999995</v>
      </c>
      <c r="D12" s="285">
        <f t="shared" si="0"/>
        <v>132.998700378</v>
      </c>
      <c r="E12" s="292"/>
      <c r="F12" s="292">
        <f>B12*(1-'PV Production Ratio'!C12)</f>
        <v>715.02399024835518</v>
      </c>
      <c r="G12" s="292">
        <f t="shared" si="1"/>
        <v>7102.7053749999995</v>
      </c>
      <c r="H12" s="285">
        <f t="shared" si="2"/>
        <v>98.293034434404603</v>
      </c>
      <c r="J12" s="292">
        <f>B12</f>
        <v>1313.397541</v>
      </c>
      <c r="K12" s="292">
        <f t="shared" si="3"/>
        <v>2006.1567499999999</v>
      </c>
      <c r="L12" s="285">
        <f t="shared" si="4"/>
        <v>165.034148878</v>
      </c>
      <c r="N12" s="292">
        <f t="shared" si="5"/>
        <v>715.02399024835518</v>
      </c>
      <c r="O12" s="292">
        <f t="shared" si="6"/>
        <v>2006.1567499999999</v>
      </c>
      <c r="P12" s="285">
        <f t="shared" si="7"/>
        <v>130.3284829344046</v>
      </c>
    </row>
    <row r="13" spans="1:16" x14ac:dyDescent="0.4">
      <c r="A13" s="295" t="s">
        <v>367</v>
      </c>
      <c r="B13" s="292">
        <v>1445.408723</v>
      </c>
      <c r="C13" s="292">
        <v>10766.936019999999</v>
      </c>
      <c r="D13" s="285">
        <f t="shared" si="0"/>
        <v>169.96919409399999</v>
      </c>
      <c r="E13" s="292"/>
      <c r="F13" s="292">
        <f>B13*(1-'PV Production Ratio'!C13)</f>
        <v>953.30410842598678</v>
      </c>
      <c r="G13" s="292">
        <f t="shared" si="1"/>
        <v>10766.936019999999</v>
      </c>
      <c r="H13" s="285">
        <f t="shared" si="2"/>
        <v>141.42712644870721</v>
      </c>
      <c r="J13" s="292">
        <f>B13</f>
        <v>1445.408723</v>
      </c>
      <c r="K13" s="292">
        <f t="shared" si="3"/>
        <v>2820.4302266666664</v>
      </c>
      <c r="L13" s="285">
        <f t="shared" si="4"/>
        <v>219.91865908066666</v>
      </c>
      <c r="N13" s="292">
        <f t="shared" si="5"/>
        <v>953.30410842598678</v>
      </c>
      <c r="O13" s="292">
        <f t="shared" si="6"/>
        <v>2820.4302266666664</v>
      </c>
      <c r="P13" s="285">
        <f t="shared" si="7"/>
        <v>191.37659143537388</v>
      </c>
    </row>
    <row r="14" spans="1:16" x14ac:dyDescent="0.4">
      <c r="B14" s="292"/>
      <c r="C14" s="292"/>
      <c r="D14" s="285">
        <f>SUM(D2:D13)</f>
        <v>1667.5022155875999</v>
      </c>
      <c r="E14" s="292"/>
      <c r="F14" s="292"/>
      <c r="G14" s="292"/>
      <c r="H14" s="285">
        <f>SUM(H2:H13)</f>
        <v>824.40889309511317</v>
      </c>
      <c r="J14" s="292"/>
      <c r="K14" s="292"/>
      <c r="L14" s="285">
        <f>SUM(L2:L13)</f>
        <v>1574.0133675908</v>
      </c>
      <c r="N14" s="292"/>
      <c r="O14" s="292">
        <f t="shared" si="6"/>
        <v>0</v>
      </c>
      <c r="P14" s="285">
        <f>SUM(P2:P13)</f>
        <v>776.10780200246313</v>
      </c>
    </row>
    <row r="15" spans="1:16" x14ac:dyDescent="0.4">
      <c r="B15" s="292">
        <f>SUM(B2:B13)/830</f>
        <v>23.61860693614458</v>
      </c>
      <c r="C15" s="292">
        <f>SUM(C2:C13)/830</f>
        <v>79.894951458072271</v>
      </c>
      <c r="H15" s="293">
        <f>1-H14/D14</f>
        <v>0.50560252011143192</v>
      </c>
      <c r="J15" s="292"/>
      <c r="K15" s="292"/>
      <c r="L15" s="294">
        <f>1-L14/D14</f>
        <v>5.6065201666827158E-2</v>
      </c>
      <c r="O15" s="289"/>
      <c r="P15" s="293">
        <f>1-P14/D14</f>
        <v>0.53456865319427727</v>
      </c>
    </row>
    <row r="16" spans="1:16" x14ac:dyDescent="0.4">
      <c r="K16" s="289"/>
    </row>
    <row r="17" spans="1:16" x14ac:dyDescent="0.4">
      <c r="A17" s="284" t="s">
        <v>368</v>
      </c>
      <c r="B17" s="290">
        <v>8.0000000000000002E-3</v>
      </c>
      <c r="C17" s="284" t="s">
        <v>369</v>
      </c>
      <c r="G17" s="285"/>
      <c r="H17" s="284"/>
      <c r="J17" s="286"/>
      <c r="K17" s="292"/>
      <c r="P17" s="291">
        <f>1-(P14/H14)</f>
        <v>5.8588755527989478E-2</v>
      </c>
    </row>
    <row r="18" spans="1:16" x14ac:dyDescent="0.4">
      <c r="A18" s="284" t="s">
        <v>370</v>
      </c>
      <c r="B18" s="290">
        <f>0.058</f>
        <v>5.8000000000000003E-2</v>
      </c>
      <c r="C18" s="284" t="s">
        <v>369</v>
      </c>
      <c r="G18" s="285"/>
      <c r="H18" s="284"/>
      <c r="K18" s="289"/>
    </row>
    <row r="19" spans="1:16" x14ac:dyDescent="0.4">
      <c r="A19" s="284" t="s">
        <v>371</v>
      </c>
      <c r="B19" s="288">
        <f>0.045</f>
        <v>4.4999999999999998E-2</v>
      </c>
      <c r="C19" s="284" t="s">
        <v>369</v>
      </c>
      <c r="G19" s="285"/>
      <c r="H19" s="284"/>
      <c r="O19" s="287" t="s">
        <v>372</v>
      </c>
    </row>
    <row r="20" spans="1:16" x14ac:dyDescent="0.4">
      <c r="G20" s="285"/>
      <c r="H20" s="284"/>
      <c r="O20" s="285" t="s">
        <v>373</v>
      </c>
    </row>
    <row r="21" spans="1:16" x14ac:dyDescent="0.4">
      <c r="A21" s="284" t="s">
        <v>374</v>
      </c>
      <c r="B21" s="284">
        <v>2.5</v>
      </c>
      <c r="G21" s="285"/>
      <c r="H21" s="284"/>
    </row>
    <row r="22" spans="1:16" x14ac:dyDescent="0.4">
      <c r="A22" s="284" t="s">
        <v>375</v>
      </c>
      <c r="B22" s="284">
        <v>6</v>
      </c>
      <c r="F22" s="284">
        <v>20</v>
      </c>
      <c r="G22" s="285">
        <v>80</v>
      </c>
      <c r="H22" s="286">
        <f>G22+F22</f>
        <v>100</v>
      </c>
    </row>
    <row r="23" spans="1:16" x14ac:dyDescent="0.4">
      <c r="A23" s="284" t="s">
        <v>376</v>
      </c>
      <c r="B23" s="284">
        <v>4.5</v>
      </c>
      <c r="F23" s="284">
        <v>20</v>
      </c>
      <c r="G23" s="285">
        <f>80*7</f>
        <v>560</v>
      </c>
      <c r="H23" s="286">
        <f>G23+F23</f>
        <v>580</v>
      </c>
    </row>
    <row r="24" spans="1:16" x14ac:dyDescent="0.4">
      <c r="H24" s="285">
        <f>H23/H22</f>
        <v>5.8</v>
      </c>
    </row>
  </sheetData>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7EACF-2765-4751-8897-C10C743E4883}">
  <sheetPr>
    <tabColor theme="7" tint="0.59999389629810485"/>
  </sheetPr>
  <dimension ref="B1:Z77"/>
  <sheetViews>
    <sheetView tabSelected="1" zoomScale="40" zoomScaleNormal="40" workbookViewId="0">
      <selection activeCell="F59" sqref="F59"/>
    </sheetView>
  </sheetViews>
  <sheetFormatPr defaultColWidth="9.15234375" defaultRowHeight="12" x14ac:dyDescent="0.3"/>
  <cols>
    <col min="1" max="1" width="4.15234375" style="28" customWidth="1"/>
    <col min="2" max="2" width="6.3828125" style="30" bestFit="1" customWidth="1"/>
    <col min="3" max="3" width="29.84375" style="28" bestFit="1" customWidth="1"/>
    <col min="4" max="4" width="30" style="28" bestFit="1" customWidth="1"/>
    <col min="5" max="5" width="23.15234375" style="28" bestFit="1" customWidth="1"/>
    <col min="6" max="6" width="13.3046875" style="28" bestFit="1" customWidth="1"/>
    <col min="7" max="7" width="11.84375" style="28" bestFit="1" customWidth="1"/>
    <col min="8" max="8" width="12.53515625" style="28" bestFit="1" customWidth="1"/>
    <col min="9" max="9" width="15.84375" style="28" bestFit="1" customWidth="1"/>
    <col min="10" max="10" width="6.69140625" style="28" bestFit="1" customWidth="1"/>
    <col min="11" max="11" width="27.3828125" style="28" customWidth="1"/>
    <col min="12" max="12" width="27.84375" style="28" bestFit="1" customWidth="1"/>
    <col min="13" max="14" width="27.69140625" style="28" bestFit="1" customWidth="1"/>
    <col min="15" max="15" width="29" style="28" hidden="1" customWidth="1"/>
    <col min="16" max="18" width="22" style="28" bestFit="1" customWidth="1"/>
    <col min="19" max="19" width="29.69140625" style="28" customWidth="1"/>
    <col min="20" max="20" width="28.15234375" style="28" customWidth="1"/>
    <col min="21" max="21" width="27.69140625" style="28" customWidth="1"/>
    <col min="22" max="22" width="24.53515625" style="28" bestFit="1" customWidth="1"/>
    <col min="23" max="23" width="22.84375" style="28" bestFit="1" customWidth="1"/>
    <col min="24" max="24" width="23.3046875" style="28" bestFit="1" customWidth="1"/>
    <col min="25" max="25" width="15.53515625" style="28" customWidth="1"/>
    <col min="26" max="26" width="12" style="28" customWidth="1"/>
    <col min="27" max="16384" width="9.15234375" style="28"/>
  </cols>
  <sheetData>
    <row r="1" spans="2:26" ht="12.45" thickBot="1" x14ac:dyDescent="0.35"/>
    <row r="2" spans="2:26" s="50" customFormat="1" ht="20.149999999999999" customHeight="1" x14ac:dyDescent="0.3">
      <c r="C2" s="653" t="s">
        <v>0</v>
      </c>
      <c r="D2" s="653" t="s">
        <v>1</v>
      </c>
      <c r="E2" s="653"/>
      <c r="F2" s="653" t="s">
        <v>2</v>
      </c>
      <c r="G2" s="653"/>
      <c r="H2" s="654" t="s">
        <v>3</v>
      </c>
      <c r="I2" s="655"/>
      <c r="K2" s="316" t="s">
        <v>4</v>
      </c>
      <c r="L2" s="372" t="s">
        <v>234</v>
      </c>
      <c r="M2" s="373" t="s">
        <v>235</v>
      </c>
      <c r="N2" s="374" t="s">
        <v>236</v>
      </c>
      <c r="O2" s="332" t="s">
        <v>237</v>
      </c>
      <c r="P2" s="372" t="s">
        <v>238</v>
      </c>
      <c r="Q2" s="373" t="s">
        <v>239</v>
      </c>
      <c r="R2" s="374" t="s">
        <v>240</v>
      </c>
      <c r="S2" s="372" t="s">
        <v>241</v>
      </c>
      <c r="T2" s="373" t="s">
        <v>242</v>
      </c>
      <c r="U2" s="374" t="s">
        <v>243</v>
      </c>
      <c r="V2" s="372" t="s">
        <v>244</v>
      </c>
      <c r="W2" s="373" t="s">
        <v>245</v>
      </c>
      <c r="X2" s="374" t="s">
        <v>246</v>
      </c>
      <c r="Y2" s="42"/>
      <c r="Z2" s="42"/>
    </row>
    <row r="3" spans="2:26" ht="20.149999999999999" customHeight="1" x14ac:dyDescent="0.3">
      <c r="B3" s="30" t="s">
        <v>15</v>
      </c>
      <c r="C3" s="653"/>
      <c r="D3" s="34" t="s">
        <v>16</v>
      </c>
      <c r="E3" s="34" t="s">
        <v>17</v>
      </c>
      <c r="F3" s="34" t="s">
        <v>18</v>
      </c>
      <c r="G3" s="34" t="s">
        <v>17</v>
      </c>
      <c r="H3" s="34" t="s">
        <v>19</v>
      </c>
      <c r="I3" s="34" t="s">
        <v>17</v>
      </c>
      <c r="K3" s="144" t="s">
        <v>20</v>
      </c>
      <c r="L3" s="321"/>
      <c r="M3" s="78"/>
      <c r="N3" s="322"/>
      <c r="O3" s="333"/>
      <c r="P3" s="321"/>
      <c r="Q3" s="78"/>
      <c r="R3" s="322"/>
      <c r="S3" s="321"/>
      <c r="T3" s="78"/>
      <c r="U3" s="322"/>
      <c r="V3" s="321"/>
      <c r="W3" s="78"/>
      <c r="X3" s="322"/>
    </row>
    <row r="4" spans="2:26" ht="12.45" x14ac:dyDescent="0.3">
      <c r="B4" s="30">
        <v>1</v>
      </c>
      <c r="C4" s="81" t="str" cm="1">
        <f t="array" ref="C4">INDEX($L$2:$T$2,1,$B4)</f>
        <v>Worst - Existing</v>
      </c>
      <c r="D4" s="110" cm="1">
        <f t="array" aca="1" ref="D4" ca="1">INDEX('Homes - 2022'!$C$42:$O$42,1,$B4)</f>
        <v>2113.9398841696357</v>
      </c>
      <c r="E4" s="35" t="s">
        <v>21</v>
      </c>
      <c r="F4" s="80" cm="1">
        <f t="array" aca="1" ref="F4" ca="1">INDEX('Homes - 2022'!$C$31:$O$31,1,$B4)</f>
        <v>130.14329377492299</v>
      </c>
      <c r="G4" s="35" t="s">
        <v>21</v>
      </c>
      <c r="H4" s="80" cm="1">
        <f t="array" aca="1" ref="H4" ca="1">INDEX('Homes - 2022'!$C$46:$O$46,1,$B4)</f>
        <v>9.2648090019990832</v>
      </c>
      <c r="I4" s="35" t="s">
        <v>21</v>
      </c>
      <c r="K4" s="317" t="s">
        <v>22</v>
      </c>
      <c r="L4" s="343" t="s">
        <v>247</v>
      </c>
      <c r="M4" s="344" t="s">
        <v>248</v>
      </c>
      <c r="N4" s="345" t="s">
        <v>249</v>
      </c>
      <c r="O4" s="334" t="s">
        <v>250</v>
      </c>
      <c r="P4" s="556" t="s">
        <v>249</v>
      </c>
      <c r="Q4" s="557" t="s">
        <v>249</v>
      </c>
      <c r="R4" s="558" t="s">
        <v>249</v>
      </c>
      <c r="S4" s="343" t="s">
        <v>247</v>
      </c>
      <c r="T4" s="344" t="s">
        <v>248</v>
      </c>
      <c r="U4" s="345" t="s">
        <v>249</v>
      </c>
      <c r="V4" s="556" t="s">
        <v>249</v>
      </c>
      <c r="W4" s="557" t="s">
        <v>249</v>
      </c>
      <c r="X4" s="558" t="s">
        <v>249</v>
      </c>
    </row>
    <row r="5" spans="2:26" ht="12.45" x14ac:dyDescent="0.3">
      <c r="B5" s="30">
        <v>2</v>
      </c>
      <c r="C5" s="81" t="str" cm="1">
        <f t="array" ref="C5">INDEX($L$2:$T$2,1,$B5)</f>
        <v>Mid - Existing</v>
      </c>
      <c r="D5" s="110" cm="1">
        <f t="array" aca="1" ref="D5" ca="1">INDEX('Homes - 2022'!$C$42:$O$42,1,$B5)</f>
        <v>1652.3740298907967</v>
      </c>
      <c r="E5" s="125">
        <f ca="1">IF(D5=0,"-",1-D5/D$4)</f>
        <v>0.21834388845931818</v>
      </c>
      <c r="F5" s="80" cm="1">
        <f t="array" aca="1" ref="F5" ca="1">INDEX('Homes - 2022'!$C$31:$O$31,1,$B5)</f>
        <v>102.64525179684328</v>
      </c>
      <c r="G5" s="125">
        <f ca="1">IF(F5=0,"-",1-F5/F$4)</f>
        <v>0.21129050280252126</v>
      </c>
      <c r="H5" s="80" cm="1">
        <f t="array" aca="1" ref="H5" ca="1">INDEX('Homes - 2022'!$C$46:$O$46,1,$B5)</f>
        <v>7.2657360566703426</v>
      </c>
      <c r="I5" s="125">
        <f ca="1">IF(H5=0,"-",1-H5/H$4)</f>
        <v>0.21577055122209177</v>
      </c>
      <c r="K5" s="317" t="s">
        <v>24</v>
      </c>
      <c r="L5" s="343" t="s">
        <v>251</v>
      </c>
      <c r="M5" s="344" t="s">
        <v>252</v>
      </c>
      <c r="N5" s="345" t="s">
        <v>253</v>
      </c>
      <c r="O5" s="335"/>
      <c r="P5" s="556" t="s">
        <v>253</v>
      </c>
      <c r="Q5" s="557" t="s">
        <v>253</v>
      </c>
      <c r="R5" s="558" t="s">
        <v>253</v>
      </c>
      <c r="S5" s="343" t="s">
        <v>251</v>
      </c>
      <c r="T5" s="344" t="s">
        <v>252</v>
      </c>
      <c r="U5" s="345" t="s">
        <v>253</v>
      </c>
      <c r="V5" s="556" t="s">
        <v>253</v>
      </c>
      <c r="W5" s="557" t="s">
        <v>253</v>
      </c>
      <c r="X5" s="558" t="s">
        <v>253</v>
      </c>
    </row>
    <row r="6" spans="2:26" ht="12.45" x14ac:dyDescent="0.3">
      <c r="B6" s="30">
        <v>3</v>
      </c>
      <c r="C6" s="81" t="str" cm="1">
        <f t="array" ref="C6">INDEX($L$2:$T$2,1,$B6)</f>
        <v>Best - Existing</v>
      </c>
      <c r="D6" s="110" cm="1">
        <f t="array" aca="1" ref="D6" ca="1">INDEX('Homes - 2022'!$C$42:$O$42,1,$B6)</f>
        <v>1322.0343127627461</v>
      </c>
      <c r="E6" s="125">
        <f t="shared" ref="E6:E12" ca="1" si="0">IF(D6=0,"-",1-D6/D$4)</f>
        <v>0.3746112069397628</v>
      </c>
      <c r="F6" s="80" cm="1">
        <f t="array" aca="1" ref="F6" ca="1">INDEX('Homes - 2022'!$C$31:$O$31,1,$B6)</f>
        <v>81.180746913727631</v>
      </c>
      <c r="G6" s="125">
        <f t="shared" ref="G6:G12" ca="1" si="1">IF(F6=0,"-",1-F6/F$4)</f>
        <v>0.3762202833583872</v>
      </c>
      <c r="H6" s="80" cm="1">
        <f t="array" aca="1" ref="H6" ca="1">INDEX('Homes - 2022'!$C$46:$O$46,1,$B6)</f>
        <v>5.7886688054046287</v>
      </c>
      <c r="I6" s="125">
        <f t="shared" ref="I6:I12" ca="1" si="2">IF(H6=0,"-",1-H6/H$4)</f>
        <v>0.37519825782100868</v>
      </c>
      <c r="K6" s="317" t="s">
        <v>26</v>
      </c>
      <c r="L6" s="346" t="s">
        <v>27</v>
      </c>
      <c r="M6" s="81" t="s">
        <v>27</v>
      </c>
      <c r="N6" s="347" t="s">
        <v>27</v>
      </c>
      <c r="O6" s="336"/>
      <c r="P6" s="559" t="s">
        <v>27</v>
      </c>
      <c r="Q6" s="560" t="s">
        <v>27</v>
      </c>
      <c r="R6" s="561" t="s">
        <v>27</v>
      </c>
      <c r="S6" s="346" t="s">
        <v>27</v>
      </c>
      <c r="T6" s="81" t="s">
        <v>27</v>
      </c>
      <c r="U6" s="347" t="s">
        <v>27</v>
      </c>
      <c r="V6" s="559" t="s">
        <v>27</v>
      </c>
      <c r="W6" s="560" t="s">
        <v>27</v>
      </c>
      <c r="X6" s="561" t="s">
        <v>27</v>
      </c>
    </row>
    <row r="7" spans="2:26" ht="12.45" x14ac:dyDescent="0.3">
      <c r="B7" s="30">
        <v>4</v>
      </c>
      <c r="C7" s="328" t="str" cm="1">
        <f t="array" ref="C7">INDEX($L$2:$T$2,1,$B7)</f>
        <v>DOE Benchmark - Homes</v>
      </c>
      <c r="D7" s="329" cm="1">
        <f t="array" aca="1" ref="D7" ca="1">INDEX('Homes - 2022'!$C$42:$O$42,1,$B7)</f>
        <v>0</v>
      </c>
      <c r="E7" s="330" t="str">
        <f t="shared" ca="1" si="0"/>
        <v>-</v>
      </c>
      <c r="F7" s="331" cm="1">
        <f t="array" aca="1" ref="F7" ca="1">INDEX('Homes - 2022'!$C$31:$O$31,1,$B7)</f>
        <v>90.317538914598245</v>
      </c>
      <c r="G7" s="330">
        <f t="shared" ca="1" si="1"/>
        <v>0.30601465281185836</v>
      </c>
      <c r="H7" s="331" cm="1">
        <f t="array" aca="1" ref="H7" ca="1">INDEX('Homes - 2022'!$C$46:$O$46,1,$B7)</f>
        <v>0</v>
      </c>
      <c r="I7" s="330" t="str">
        <f t="shared" ca="1" si="2"/>
        <v>-</v>
      </c>
      <c r="K7" s="317" t="s">
        <v>32</v>
      </c>
      <c r="L7" s="348" t="s">
        <v>254</v>
      </c>
      <c r="M7" s="349" t="s">
        <v>254</v>
      </c>
      <c r="N7" s="350" t="s">
        <v>254</v>
      </c>
      <c r="O7" s="335"/>
      <c r="P7" s="562" t="s">
        <v>254</v>
      </c>
      <c r="Q7" s="563" t="s">
        <v>254</v>
      </c>
      <c r="R7" s="564" t="s">
        <v>254</v>
      </c>
      <c r="S7" s="348" t="s">
        <v>254</v>
      </c>
      <c r="T7" s="349" t="s">
        <v>254</v>
      </c>
      <c r="U7" s="350" t="s">
        <v>254</v>
      </c>
      <c r="V7" s="562" t="s">
        <v>254</v>
      </c>
      <c r="W7" s="563" t="s">
        <v>254</v>
      </c>
      <c r="X7" s="564" t="s">
        <v>254</v>
      </c>
    </row>
    <row r="8" spans="2:26" ht="12.45" x14ac:dyDescent="0.3">
      <c r="B8" s="30">
        <v>5</v>
      </c>
      <c r="C8" s="81" t="str" cm="1">
        <f t="array" ref="C8">INDEX($L$2:$T$2,1,$B8)</f>
        <v>Worst - Wx</v>
      </c>
      <c r="D8" s="110" cm="1">
        <f t="array" aca="1" ref="D8" ca="1">INDEX('Homes - 2022'!$C$42:$O$42,1,$B8)</f>
        <v>1867.5110267272628</v>
      </c>
      <c r="E8" s="125">
        <f t="shared" ca="1" si="0"/>
        <v>0.11657325702011212</v>
      </c>
      <c r="F8" s="80" cm="1">
        <f t="array" aca="1" ref="F8" ca="1">INDEX('Homes - 2022'!$C$31:$O$31,1,$B8)</f>
        <v>109.06028080899733</v>
      </c>
      <c r="G8" s="125">
        <f t="shared" ca="1" si="1"/>
        <v>0.16199845842527849</v>
      </c>
      <c r="H8" s="80" cm="1">
        <f t="array" aca="1" ref="H8" ca="1">INDEX('Homes - 2022'!$C$46:$O$46,1,$B8)</f>
        <v>8.0312361979568614</v>
      </c>
      <c r="I8" s="125">
        <f t="shared" ca="1" si="2"/>
        <v>0.13314605878826558</v>
      </c>
      <c r="K8" s="317" t="s">
        <v>38</v>
      </c>
      <c r="L8" s="351" t="s">
        <v>255</v>
      </c>
      <c r="M8" s="179" t="s">
        <v>255</v>
      </c>
      <c r="N8" s="352" t="s">
        <v>255</v>
      </c>
      <c r="O8" s="337"/>
      <c r="P8" s="565" t="s">
        <v>255</v>
      </c>
      <c r="Q8" s="566" t="s">
        <v>255</v>
      </c>
      <c r="R8" s="567" t="s">
        <v>255</v>
      </c>
      <c r="S8" s="351" t="s">
        <v>255</v>
      </c>
      <c r="T8" s="179" t="s">
        <v>255</v>
      </c>
      <c r="U8" s="352" t="s">
        <v>255</v>
      </c>
      <c r="V8" s="565" t="s">
        <v>255</v>
      </c>
      <c r="W8" s="566" t="s">
        <v>255</v>
      </c>
      <c r="X8" s="567" t="s">
        <v>255</v>
      </c>
    </row>
    <row r="9" spans="2:26" ht="12.45" x14ac:dyDescent="0.3">
      <c r="B9" s="30">
        <v>6</v>
      </c>
      <c r="C9" s="81" t="str" cm="1">
        <f t="array" ref="C9">INDEX($L$2:$T$2,1,$B9)</f>
        <v>Mid - Wx</v>
      </c>
      <c r="D9" s="110" cm="1">
        <f t="array" aca="1" ref="D9" ca="1">INDEX('Homes - 2022'!$C$42:$O$42,1,$B9)</f>
        <v>1554.2545590004427</v>
      </c>
      <c r="E9" s="125">
        <f ca="1">IF(D9=0,"-",1-D9/D$4)</f>
        <v>0.26475933840902</v>
      </c>
      <c r="F9" s="80" cm="1">
        <f t="array" aca="1" ref="F9" ca="1">INDEX('Homes - 2022'!$C$31:$O$31,1,$B9)</f>
        <v>93.67047923780413</v>
      </c>
      <c r="G9" s="125">
        <f t="shared" ca="1" si="1"/>
        <v>0.28025120218792809</v>
      </c>
      <c r="H9" s="80" cm="1">
        <f t="array" aca="1" ref="H9" ca="1">INDEX('Homes - 2022'!$C$46:$O$46,1,$B9)</f>
        <v>6.7594995284660655</v>
      </c>
      <c r="I9" s="125">
        <f t="shared" ca="1" si="2"/>
        <v>0.27041134609385287</v>
      </c>
      <c r="K9" s="317" t="s">
        <v>256</v>
      </c>
      <c r="L9" s="353">
        <v>1.85</v>
      </c>
      <c r="M9" s="354">
        <v>1.65</v>
      </c>
      <c r="N9" s="355">
        <v>1.45</v>
      </c>
      <c r="O9" s="337"/>
      <c r="P9" s="568">
        <v>1.45</v>
      </c>
      <c r="Q9" s="569">
        <v>1.45</v>
      </c>
      <c r="R9" s="570">
        <v>1.45</v>
      </c>
      <c r="S9" s="353">
        <v>1.85</v>
      </c>
      <c r="T9" s="354">
        <v>1.65</v>
      </c>
      <c r="U9" s="355">
        <v>1.45</v>
      </c>
      <c r="V9" s="568">
        <v>1.45</v>
      </c>
      <c r="W9" s="569">
        <v>1.45</v>
      </c>
      <c r="X9" s="570">
        <v>1.45</v>
      </c>
    </row>
    <row r="10" spans="2:26" ht="15" x14ac:dyDescent="0.35">
      <c r="B10" s="30">
        <v>7</v>
      </c>
      <c r="C10" s="81" t="str" cm="1">
        <f t="array" ref="C10">INDEX($L$2:$T$2,1,$B10)</f>
        <v>Best - Wx</v>
      </c>
      <c r="D10" s="110" cm="1">
        <f t="array" aca="1" ref="D10" ca="1">INDEX('Homes - 2022'!$C$42:$O$42,1,$B10)</f>
        <v>1322.0343127627461</v>
      </c>
      <c r="E10" s="125">
        <f t="shared" ca="1" si="0"/>
        <v>0.3746112069397628</v>
      </c>
      <c r="F10" s="80" cm="1">
        <f t="array" aca="1" ref="F10" ca="1">INDEX('Homes - 2022'!$C$31:$O$31,1,$B10)</f>
        <v>81.180746913727631</v>
      </c>
      <c r="G10" s="125">
        <f t="shared" ca="1" si="1"/>
        <v>0.3762202833583872</v>
      </c>
      <c r="H10" s="80" cm="1">
        <f t="array" aca="1" ref="H10" ca="1">INDEX('Homes - 2022'!$C$46:$O$46,1,$B10)</f>
        <v>5.7886688054046287</v>
      </c>
      <c r="I10" s="125">
        <f t="shared" ca="1" si="2"/>
        <v>0.37519825782100868</v>
      </c>
      <c r="J10" s="29"/>
      <c r="K10" s="144" t="s">
        <v>39</v>
      </c>
      <c r="L10" s="323"/>
      <c r="M10" s="76"/>
      <c r="N10" s="324"/>
      <c r="O10" s="338"/>
      <c r="P10" s="323"/>
      <c r="Q10" s="76"/>
      <c r="R10" s="324"/>
      <c r="S10" s="323"/>
      <c r="T10" s="76"/>
      <c r="U10" s="324"/>
      <c r="V10" s="323"/>
      <c r="W10" s="76"/>
      <c r="X10" s="324"/>
    </row>
    <row r="11" spans="2:26" ht="24" x14ac:dyDescent="0.35">
      <c r="B11" s="30">
        <v>8</v>
      </c>
      <c r="C11" s="81" t="str" cm="1">
        <f t="array" ref="C11">INDEX($L$2:$T$2,1,$B11)</f>
        <v>Worst - Geo</v>
      </c>
      <c r="D11" s="110" cm="1">
        <f t="array" aca="1" ref="D11" ca="1">INDEX('Homes - 2022'!$C$42:$O$42,1,$B11)</f>
        <v>1902.9195653292031</v>
      </c>
      <c r="E11" s="125">
        <f t="shared" ca="1" si="0"/>
        <v>9.9823235476406258E-2</v>
      </c>
      <c r="F11" s="80" cm="1">
        <f t="array" aca="1" ref="F11" ca="1">INDEX('Homes - 2022'!$C$31:$O$31,1,$B11)</f>
        <v>49.753575777836154</v>
      </c>
      <c r="G11" s="125">
        <f t="shared" ca="1" si="1"/>
        <v>0.61770157850866492</v>
      </c>
      <c r="H11" s="80" cm="1">
        <f t="array" aca="1" ref="H11" ca="1">INDEX('Homes - 2022'!$C$46:$O$46,1,$B11)</f>
        <v>6.5894610375767222</v>
      </c>
      <c r="I11" s="125">
        <f t="shared" ca="1" si="2"/>
        <v>0.28876450273773557</v>
      </c>
      <c r="J11" s="29"/>
      <c r="K11" s="318" t="s">
        <v>257</v>
      </c>
      <c r="L11" s="356">
        <v>0.25</v>
      </c>
      <c r="M11" s="357">
        <v>0.25</v>
      </c>
      <c r="N11" s="358">
        <v>0.25</v>
      </c>
      <c r="O11" s="339"/>
      <c r="P11" s="356">
        <v>0.25</v>
      </c>
      <c r="Q11" s="357">
        <v>0.25</v>
      </c>
      <c r="R11" s="358">
        <v>0.25</v>
      </c>
      <c r="S11" s="356">
        <v>0.25</v>
      </c>
      <c r="T11" s="357">
        <v>0.25</v>
      </c>
      <c r="U11" s="358">
        <v>0.25</v>
      </c>
      <c r="V11" s="356">
        <v>0.25</v>
      </c>
      <c r="W11" s="357">
        <v>0.25</v>
      </c>
      <c r="X11" s="358">
        <v>0.25</v>
      </c>
    </row>
    <row r="12" spans="2:26" ht="24" x14ac:dyDescent="0.35">
      <c r="B12" s="30">
        <v>9</v>
      </c>
      <c r="C12" s="81" t="str" cm="1">
        <f t="array" ref="C12">INDEX($L$2:$T$2,1,$B12)</f>
        <v>Mid - Geo</v>
      </c>
      <c r="D12" s="110" cm="1">
        <f t="array" aca="1" ref="D12" ca="1">INDEX('Homes - 2022'!$C$42:$O$42,1,$B12)</f>
        <v>1507.902236000079</v>
      </c>
      <c r="E12" s="125">
        <f t="shared" ca="1" si="0"/>
        <v>0.28668632098192837</v>
      </c>
      <c r="F12" s="80" cm="1">
        <f t="array" aca="1" ref="F12" ca="1">INDEX('Homes - 2022'!$C$31:$O$31,1,$B12)</f>
        <v>40.1901788485876</v>
      </c>
      <c r="G12" s="125">
        <f t="shared" ca="1" si="1"/>
        <v>0.69118517226024179</v>
      </c>
      <c r="H12" s="80" cm="1">
        <f t="array" aca="1" ref="H12" ca="1">INDEX('Homes - 2022'!$C$46:$O$46,1,$B12)</f>
        <v>5.2414495517087003</v>
      </c>
      <c r="I12" s="125">
        <f t="shared" ca="1" si="2"/>
        <v>0.4342625357330363</v>
      </c>
      <c r="J12" s="29"/>
      <c r="K12" s="318" t="s">
        <v>258</v>
      </c>
      <c r="L12" s="359">
        <v>0.35</v>
      </c>
      <c r="M12" s="230">
        <v>0.3</v>
      </c>
      <c r="N12" s="360">
        <v>0.25</v>
      </c>
      <c r="O12" s="339"/>
      <c r="P12" s="359">
        <v>0.35</v>
      </c>
      <c r="Q12" s="230">
        <v>0.3</v>
      </c>
      <c r="R12" s="360">
        <v>0.25</v>
      </c>
      <c r="S12" s="359">
        <v>0.35</v>
      </c>
      <c r="T12" s="230">
        <v>0.3</v>
      </c>
      <c r="U12" s="360">
        <v>0.25</v>
      </c>
      <c r="V12" s="359">
        <v>0.35</v>
      </c>
      <c r="W12" s="230">
        <v>0.3</v>
      </c>
      <c r="X12" s="360">
        <v>0.25</v>
      </c>
    </row>
    <row r="13" spans="2:26" ht="14.6" x14ac:dyDescent="0.35">
      <c r="B13" s="30">
        <v>10</v>
      </c>
      <c r="C13" s="81" t="str" cm="1">
        <f t="array" ref="C13">INDEX($L$2:$X$2,1,$B13)</f>
        <v xml:space="preserve">Best - Geo </v>
      </c>
      <c r="D13" s="110" cm="1">
        <f t="array" aca="1" ref="D13" ca="1">INDEX('Homes - 2022'!$C$42:$O$42,1,$B13)</f>
        <v>1196.8504558761215</v>
      </c>
      <c r="E13" s="125">
        <f t="shared" ref="E13:E16" ca="1" si="3">IF(D13=0,"-",1-D13/D$4)</f>
        <v>0.43382947413083639</v>
      </c>
      <c r="F13" s="80" cm="1">
        <f t="array" aca="1" ref="F13" ca="1">INDEX('Homes - 2022'!$C$31:$O$31,1,$B13)</f>
        <v>32.916569163542583</v>
      </c>
      <c r="G13" s="125">
        <f t="shared" ref="G13:G16" ca="1" si="4">IF(F13=0,"-",1-F13/F$4)</f>
        <v>0.74707441152926157</v>
      </c>
      <c r="H13" s="80" cm="1">
        <f t="array" aca="1" ref="H13" ca="1">INDEX('Homes - 2022'!$C$46:$O$46,1,$B13)</f>
        <v>4.1866479544478432</v>
      </c>
      <c r="I13" s="125">
        <f t="shared" ref="I13:I16" ca="1" si="5">IF(H13=0,"-",1-H13/H$4)</f>
        <v>0.54811286951037164</v>
      </c>
      <c r="J13" s="29"/>
      <c r="K13" s="318" t="s">
        <v>259</v>
      </c>
      <c r="L13" s="359">
        <v>0.1</v>
      </c>
      <c r="M13" s="230">
        <v>0.1</v>
      </c>
      <c r="N13" s="360">
        <v>0.1</v>
      </c>
      <c r="O13" s="340"/>
      <c r="P13" s="359">
        <v>0.1</v>
      </c>
      <c r="Q13" s="230">
        <v>0.1</v>
      </c>
      <c r="R13" s="360">
        <v>0.1</v>
      </c>
      <c r="S13" s="359">
        <v>0.1</v>
      </c>
      <c r="T13" s="230">
        <v>0.1</v>
      </c>
      <c r="U13" s="360">
        <v>0.1</v>
      </c>
      <c r="V13" s="359">
        <v>0.1</v>
      </c>
      <c r="W13" s="230">
        <v>0.1</v>
      </c>
      <c r="X13" s="360">
        <v>0.1</v>
      </c>
    </row>
    <row r="14" spans="2:26" ht="15" x14ac:dyDescent="0.35">
      <c r="B14" s="30">
        <v>11</v>
      </c>
      <c r="C14" s="81" t="str" cm="1">
        <f t="array" ref="C14">INDEX($L$2:$X$2,1,$B14)</f>
        <v>Worst - Geo + Wx</v>
      </c>
      <c r="D14" s="110" cm="1">
        <f t="array" aca="1" ref="D14" ca="1">INDEX('Homes - 2022'!$C$42:$O$42,1,$B14)</f>
        <v>1671.8484285902894</v>
      </c>
      <c r="E14" s="125">
        <f t="shared" ca="1" si="3"/>
        <v>0.2091315173576952</v>
      </c>
      <c r="F14" s="80" cm="1">
        <f t="array" aca="1" ref="F14" ca="1">INDEX('Homes - 2022'!$C$31:$O$31,1,$B14)</f>
        <v>44.964301917428784</v>
      </c>
      <c r="G14" s="125">
        <f t="shared" ca="1" si="4"/>
        <v>0.65450158349924248</v>
      </c>
      <c r="H14" s="80" cm="1">
        <f t="array" aca="1" ref="H14" ca="1">INDEX('Homes - 2022'!$C$46:$O$46,1,$B14)</f>
        <v>5.8218292938843268</v>
      </c>
      <c r="I14" s="125">
        <f t="shared" ca="1" si="5"/>
        <v>0.37161907033073849</v>
      </c>
      <c r="J14" s="29"/>
      <c r="K14" s="144" t="s">
        <v>42</v>
      </c>
      <c r="L14" s="325"/>
      <c r="M14" s="75"/>
      <c r="N14" s="326"/>
      <c r="O14" s="341"/>
      <c r="P14" s="325"/>
      <c r="Q14" s="75"/>
      <c r="R14" s="326"/>
      <c r="S14" s="325"/>
      <c r="T14" s="75"/>
      <c r="U14" s="326"/>
      <c r="V14" s="325"/>
      <c r="W14" s="75"/>
      <c r="X14" s="326"/>
    </row>
    <row r="15" spans="2:26" ht="14.6" x14ac:dyDescent="0.35">
      <c r="B15" s="30">
        <v>12</v>
      </c>
      <c r="C15" s="81" t="str" cm="1">
        <f t="array" ref="C15">INDEX($L$2:$X$2,1,$B15)</f>
        <v>Mid - Geo + Wx</v>
      </c>
      <c r="D15" s="110" cm="1">
        <f t="array" aca="1" ref="D15" ca="1">INDEX('Homes - 2022'!$C$42:$O$42,1,$B15)</f>
        <v>1399.283366568776</v>
      </c>
      <c r="E15" s="125">
        <f t="shared" ca="1" si="3"/>
        <v>0.33806851507585778</v>
      </c>
      <c r="F15" s="80" cm="1">
        <f t="array" aca="1" ref="F15" ca="1">INDEX('Homes - 2022'!$C$31:$O$31,1,$B15)</f>
        <v>37.935325580840043</v>
      </c>
      <c r="G15" s="125">
        <f t="shared" ca="1" si="4"/>
        <v>0.70851109972329818</v>
      </c>
      <c r="H15" s="80" cm="1">
        <f t="array" aca="1" ref="H15" ca="1">INDEX('Homes - 2022'!$C$46:$O$46,1,$B15)</f>
        <v>4.8805185133794815</v>
      </c>
      <c r="I15" s="125">
        <f t="shared" ca="1" si="5"/>
        <v>0.47321973800793904</v>
      </c>
      <c r="J15" s="29"/>
      <c r="K15" s="317" t="s">
        <v>43</v>
      </c>
      <c r="L15" s="361" t="s">
        <v>260</v>
      </c>
      <c r="M15" s="362" t="s">
        <v>260</v>
      </c>
      <c r="N15" s="363" t="s">
        <v>260</v>
      </c>
      <c r="O15" s="342"/>
      <c r="P15" s="361" t="s">
        <v>260</v>
      </c>
      <c r="Q15" s="362" t="s">
        <v>260</v>
      </c>
      <c r="R15" s="363" t="s">
        <v>260</v>
      </c>
      <c r="S15" s="571" t="s">
        <v>261</v>
      </c>
      <c r="T15" s="572" t="s">
        <v>261</v>
      </c>
      <c r="U15" s="573" t="s">
        <v>261</v>
      </c>
      <c r="V15" s="571" t="s">
        <v>261</v>
      </c>
      <c r="W15" s="572" t="s">
        <v>261</v>
      </c>
      <c r="X15" s="573" t="s">
        <v>261</v>
      </c>
    </row>
    <row r="16" spans="2:26" ht="12.45" x14ac:dyDescent="0.3">
      <c r="B16" s="30">
        <v>13</v>
      </c>
      <c r="C16" s="81" t="str" cm="1">
        <f t="array" ref="C16">INDEX($L$2:$X$2,1,$B16)</f>
        <v>Best - Geo + Wx</v>
      </c>
      <c r="D16" s="110" cm="1">
        <f t="array" aca="1" ref="D16" ca="1">INDEX('Homes - 2022'!$C$42:$O$42,1,$B16)</f>
        <v>1196.8504558761215</v>
      </c>
      <c r="E16" s="125">
        <f t="shared" ca="1" si="3"/>
        <v>0.43382947413083639</v>
      </c>
      <c r="F16" s="80" cm="1">
        <f t="array" aca="1" ref="F16" ca="1">INDEX('Homes - 2022'!$C$31:$O$31,1,$B16)</f>
        <v>32.916569163542583</v>
      </c>
      <c r="G16" s="125">
        <f t="shared" ca="1" si="4"/>
        <v>0.74707441152926157</v>
      </c>
      <c r="H16" s="80" cm="1">
        <f t="array" aca="1" ref="H16" ca="1">INDEX('Homes - 2022'!$C$46:$O$46,1,$B16)</f>
        <v>4.1866479544478432</v>
      </c>
      <c r="I16" s="125">
        <f t="shared" ca="1" si="5"/>
        <v>0.54811286951037164</v>
      </c>
      <c r="J16"/>
      <c r="K16" s="317" t="s">
        <v>50</v>
      </c>
      <c r="L16" s="346" t="s">
        <v>262</v>
      </c>
      <c r="M16" s="81" t="s">
        <v>262</v>
      </c>
      <c r="N16" s="347" t="s">
        <v>262</v>
      </c>
      <c r="O16" s="336"/>
      <c r="P16" s="346" t="s">
        <v>262</v>
      </c>
      <c r="Q16" s="81" t="s">
        <v>262</v>
      </c>
      <c r="R16" s="347" t="s">
        <v>262</v>
      </c>
      <c r="S16" s="574" t="s">
        <v>263</v>
      </c>
      <c r="T16" s="575" t="s">
        <v>263</v>
      </c>
      <c r="U16" s="576" t="s">
        <v>263</v>
      </c>
      <c r="V16" s="574" t="s">
        <v>263</v>
      </c>
      <c r="W16" s="572" t="s">
        <v>263</v>
      </c>
      <c r="X16" s="576" t="s">
        <v>263</v>
      </c>
    </row>
    <row r="17" spans="3:26" ht="12.45" x14ac:dyDescent="0.3">
      <c r="C17" s="81"/>
      <c r="D17" s="110"/>
      <c r="E17" s="125"/>
      <c r="F17" s="80"/>
      <c r="G17" s="125"/>
      <c r="H17" s="80"/>
      <c r="I17" s="125"/>
      <c r="J17"/>
      <c r="K17" s="317" t="s">
        <v>54</v>
      </c>
      <c r="L17" s="364" t="s">
        <v>264</v>
      </c>
      <c r="M17" s="187" t="s">
        <v>265</v>
      </c>
      <c r="N17" s="365" t="s">
        <v>266</v>
      </c>
      <c r="O17" s="336"/>
      <c r="P17" s="364" t="s">
        <v>264</v>
      </c>
      <c r="Q17" s="187" t="s">
        <v>265</v>
      </c>
      <c r="R17" s="365" t="s">
        <v>266</v>
      </c>
      <c r="S17" s="574" t="s">
        <v>267</v>
      </c>
      <c r="T17" s="575" t="s">
        <v>267</v>
      </c>
      <c r="U17" s="576" t="s">
        <v>267</v>
      </c>
      <c r="V17" s="574" t="s">
        <v>267</v>
      </c>
      <c r="W17" s="572" t="s">
        <v>267</v>
      </c>
      <c r="X17" s="576" t="s">
        <v>267</v>
      </c>
    </row>
    <row r="18" spans="3:26" ht="36" x14ac:dyDescent="0.35">
      <c r="J18" s="29"/>
      <c r="K18" s="319" t="s">
        <v>268</v>
      </c>
      <c r="L18" s="361" t="s">
        <v>269</v>
      </c>
      <c r="M18" s="362" t="s">
        <v>270</v>
      </c>
      <c r="N18" s="366" t="s">
        <v>271</v>
      </c>
      <c r="O18" s="336"/>
      <c r="P18" s="361" t="s">
        <v>269</v>
      </c>
      <c r="Q18" s="362" t="s">
        <v>270</v>
      </c>
      <c r="R18" s="366" t="s">
        <v>271</v>
      </c>
      <c r="S18" s="361" t="s">
        <v>269</v>
      </c>
      <c r="T18" s="362" t="s">
        <v>270</v>
      </c>
      <c r="U18" s="366" t="s">
        <v>271</v>
      </c>
      <c r="V18" s="361" t="s">
        <v>269</v>
      </c>
      <c r="W18" s="362" t="s">
        <v>270</v>
      </c>
      <c r="X18" s="366" t="s">
        <v>271</v>
      </c>
    </row>
    <row r="19" spans="3:26" ht="15" x14ac:dyDescent="0.35">
      <c r="J19" s="29"/>
      <c r="K19" s="144" t="s">
        <v>61</v>
      </c>
      <c r="L19" s="325"/>
      <c r="M19" s="75"/>
      <c r="N19" s="326"/>
      <c r="O19" s="341"/>
      <c r="P19" s="325"/>
      <c r="Q19" s="75"/>
      <c r="R19" s="326"/>
      <c r="S19" s="325"/>
      <c r="T19" s="75"/>
      <c r="U19" s="326"/>
      <c r="V19" s="325"/>
      <c r="W19" s="75"/>
      <c r="X19" s="326"/>
    </row>
    <row r="20" spans="3:26" ht="14.6" x14ac:dyDescent="0.35">
      <c r="J20" s="29"/>
      <c r="K20" s="320" t="s">
        <v>64</v>
      </c>
      <c r="L20" s="664" t="s">
        <v>272</v>
      </c>
      <c r="M20" s="665"/>
      <c r="N20" s="666"/>
      <c r="O20" s="336"/>
      <c r="P20" s="664" t="s">
        <v>272</v>
      </c>
      <c r="Q20" s="665"/>
      <c r="R20" s="666"/>
      <c r="S20" s="664" t="s">
        <v>272</v>
      </c>
      <c r="T20" s="665"/>
      <c r="U20" s="666"/>
      <c r="V20" s="664" t="s">
        <v>272</v>
      </c>
      <c r="W20" s="665"/>
      <c r="X20" s="666"/>
    </row>
    <row r="21" spans="3:26" ht="16.5" customHeight="1" x14ac:dyDescent="0.35">
      <c r="J21" s="29"/>
      <c r="K21" s="320" t="s">
        <v>218</v>
      </c>
      <c r="L21" s="368" t="s">
        <v>273</v>
      </c>
      <c r="M21" s="301" t="s">
        <v>274</v>
      </c>
      <c r="N21" s="369" t="s">
        <v>275</v>
      </c>
      <c r="O21" s="340"/>
      <c r="P21" s="368" t="s">
        <v>273</v>
      </c>
      <c r="Q21" s="301" t="s">
        <v>274</v>
      </c>
      <c r="R21" s="369" t="s">
        <v>275</v>
      </c>
      <c r="S21" s="368" t="s">
        <v>273</v>
      </c>
      <c r="T21" s="301" t="s">
        <v>274</v>
      </c>
      <c r="U21" s="369" t="s">
        <v>275</v>
      </c>
      <c r="V21" s="368" t="s">
        <v>273</v>
      </c>
      <c r="W21" s="301" t="s">
        <v>274</v>
      </c>
      <c r="X21" s="369" t="s">
        <v>275</v>
      </c>
    </row>
    <row r="22" spans="3:26" ht="16.5" customHeight="1" thickBot="1" x14ac:dyDescent="0.35">
      <c r="K22" s="320" t="s">
        <v>276</v>
      </c>
      <c r="L22" s="370" t="s">
        <v>277</v>
      </c>
      <c r="M22" s="327" t="s">
        <v>277</v>
      </c>
      <c r="N22" s="371" t="s">
        <v>277</v>
      </c>
      <c r="O22" s="340"/>
      <c r="P22" s="370" t="s">
        <v>277</v>
      </c>
      <c r="Q22" s="327" t="s">
        <v>277</v>
      </c>
      <c r="R22" s="371" t="s">
        <v>277</v>
      </c>
      <c r="S22" s="370" t="s">
        <v>277</v>
      </c>
      <c r="T22" s="327" t="s">
        <v>277</v>
      </c>
      <c r="U22" s="371" t="s">
        <v>277</v>
      </c>
      <c r="V22" s="370" t="s">
        <v>277</v>
      </c>
      <c r="W22" s="327" t="s">
        <v>277</v>
      </c>
      <c r="X22" s="371" t="s">
        <v>277</v>
      </c>
    </row>
    <row r="23" spans="3:26" ht="16.5" customHeight="1" x14ac:dyDescent="0.3">
      <c r="K23"/>
      <c r="L23"/>
      <c r="M23"/>
      <c r="N23"/>
      <c r="O23"/>
      <c r="Q23"/>
      <c r="R23" s="172"/>
      <c r="S23"/>
      <c r="T23"/>
    </row>
    <row r="24" spans="3:26" ht="12.45" x14ac:dyDescent="0.3">
      <c r="K24"/>
      <c r="L24"/>
      <c r="M24"/>
      <c r="N24"/>
      <c r="O24"/>
      <c r="P24"/>
      <c r="Q24"/>
      <c r="R24" s="172"/>
      <c r="S24"/>
      <c r="T24"/>
    </row>
    <row r="25" spans="3:26" ht="12.45" x14ac:dyDescent="0.3">
      <c r="C25" s="652" t="s">
        <v>49</v>
      </c>
      <c r="D25" s="652"/>
      <c r="K25"/>
      <c r="L25"/>
      <c r="M25"/>
      <c r="N25"/>
      <c r="O25"/>
      <c r="P25"/>
      <c r="Q25"/>
      <c r="R25" s="172"/>
      <c r="S25"/>
      <c r="T25"/>
    </row>
    <row r="26" spans="3:26" x14ac:dyDescent="0.3">
      <c r="C26" s="86" t="s">
        <v>52</v>
      </c>
      <c r="D26" s="12" t="s">
        <v>278</v>
      </c>
    </row>
    <row r="27" spans="3:26" ht="12.45" x14ac:dyDescent="0.3">
      <c r="C27" s="86" t="s">
        <v>56</v>
      </c>
      <c r="D27" s="12" t="s">
        <v>279</v>
      </c>
      <c r="E27" s="32" t="s">
        <v>280</v>
      </c>
      <c r="F27"/>
      <c r="G27"/>
    </row>
    <row r="28" spans="3:26" ht="13.75" x14ac:dyDescent="0.3">
      <c r="C28" s="86" t="s">
        <v>60</v>
      </c>
      <c r="D28" s="12">
        <v>837.58</v>
      </c>
      <c r="E28" s="32">
        <v>2377</v>
      </c>
      <c r="F28"/>
      <c r="G28"/>
    </row>
    <row r="29" spans="3:26" x14ac:dyDescent="0.3">
      <c r="C29" s="86" t="s">
        <v>62</v>
      </c>
      <c r="D29" s="12">
        <v>1</v>
      </c>
    </row>
    <row r="30" spans="3:26" ht="12.45" x14ac:dyDescent="0.3">
      <c r="C30" s="652" t="s">
        <v>66</v>
      </c>
      <c r="D30" s="652"/>
    </row>
    <row r="31" spans="3:26" x14ac:dyDescent="0.3">
      <c r="C31" s="86" t="s">
        <v>67</v>
      </c>
      <c r="D31" s="86" t="s">
        <v>68</v>
      </c>
    </row>
    <row r="32" spans="3:26" ht="12.45" x14ac:dyDescent="0.3">
      <c r="C32" s="86" t="s">
        <v>70</v>
      </c>
      <c r="D32" s="86" t="s">
        <v>71</v>
      </c>
      <c r="F32"/>
      <c r="K32" s="28" t="s">
        <v>87</v>
      </c>
      <c r="L32" s="28" t="s">
        <v>87</v>
      </c>
      <c r="M32" s="28" t="s">
        <v>87</v>
      </c>
      <c r="N32" s="28" t="s">
        <v>87</v>
      </c>
      <c r="O32" s="28" t="s">
        <v>87</v>
      </c>
      <c r="P32" s="28" t="s">
        <v>87</v>
      </c>
      <c r="T32" s="28" t="s">
        <v>87</v>
      </c>
      <c r="U32" s="28" t="s">
        <v>87</v>
      </c>
      <c r="V32" s="28" t="s">
        <v>87</v>
      </c>
      <c r="W32" s="28" t="s">
        <v>87</v>
      </c>
      <c r="X32" s="28" t="s">
        <v>87</v>
      </c>
      <c r="Y32" s="28" t="s">
        <v>87</v>
      </c>
      <c r="Z32" s="28" t="s">
        <v>87</v>
      </c>
    </row>
    <row r="33" spans="3:20" ht="12.45" x14ac:dyDescent="0.3">
      <c r="F33"/>
      <c r="H33" s="232"/>
    </row>
    <row r="34" spans="3:20" ht="12.45" x14ac:dyDescent="0.3">
      <c r="C34" s="91" t="s">
        <v>74</v>
      </c>
      <c r="F34" s="30" t="s">
        <v>281</v>
      </c>
      <c r="H34" s="28" t="s">
        <v>282</v>
      </c>
    </row>
    <row r="35" spans="3:20" x14ac:dyDescent="0.3">
      <c r="C35" s="31" t="s">
        <v>76</v>
      </c>
      <c r="D35" s="196">
        <f>F35/3.415</f>
        <v>5.751098096632503E-2</v>
      </c>
      <c r="E35" s="32" t="s">
        <v>77</v>
      </c>
      <c r="F35" s="196">
        <v>0.19639999999999999</v>
      </c>
      <c r="G35" s="32" t="s">
        <v>78</v>
      </c>
      <c r="H35" s="196">
        <v>8.77E-2</v>
      </c>
      <c r="I35" s="28" t="s">
        <v>78</v>
      </c>
    </row>
    <row r="36" spans="3:20" x14ac:dyDescent="0.3">
      <c r="C36" s="31" t="s">
        <v>79</v>
      </c>
      <c r="D36" s="196">
        <f>F36/100</f>
        <v>7.8998073217726398E-3</v>
      </c>
      <c r="E36" s="32" t="s">
        <v>77</v>
      </c>
      <c r="F36" s="196">
        <f>0.82/1.038</f>
        <v>0.78998073217726394</v>
      </c>
      <c r="G36" s="32" t="s">
        <v>80</v>
      </c>
    </row>
    <row r="37" spans="3:20" x14ac:dyDescent="0.3">
      <c r="C37" s="31" t="s">
        <v>81</v>
      </c>
      <c r="D37" s="98">
        <f>F37/100</f>
        <v>0</v>
      </c>
      <c r="E37" s="32" t="s">
        <v>77</v>
      </c>
      <c r="F37" s="314"/>
      <c r="G37" s="32" t="s">
        <v>80</v>
      </c>
    </row>
    <row r="38" spans="3:20" x14ac:dyDescent="0.3">
      <c r="C38" s="31" t="s">
        <v>82</v>
      </c>
      <c r="D38" s="98">
        <f>F38/100</f>
        <v>0</v>
      </c>
      <c r="E38" s="32" t="s">
        <v>77</v>
      </c>
      <c r="F38" s="314"/>
      <c r="G38" s="32" t="s">
        <v>80</v>
      </c>
    </row>
    <row r="39" spans="3:20" x14ac:dyDescent="0.3">
      <c r="C39" s="31" t="s">
        <v>83</v>
      </c>
      <c r="D39" s="98">
        <f>F39/100</f>
        <v>0</v>
      </c>
      <c r="E39" s="32" t="s">
        <v>77</v>
      </c>
      <c r="F39" s="314"/>
      <c r="G39" s="32" t="s">
        <v>80</v>
      </c>
    </row>
    <row r="41" spans="3:20" ht="12.45" x14ac:dyDescent="0.3">
      <c r="C41" s="91" t="s">
        <v>84</v>
      </c>
      <c r="D41" s="44" t="s">
        <v>85</v>
      </c>
      <c r="E41" s="44" t="s">
        <v>86</v>
      </c>
    </row>
    <row r="42" spans="3:20" x14ac:dyDescent="0.3">
      <c r="C42" s="31" t="s">
        <v>76</v>
      </c>
      <c r="D42" s="226">
        <v>1438.38</v>
      </c>
      <c r="E42" s="315">
        <f>D42/2204/1000/3.415</f>
        <v>1.9110468654090927E-4</v>
      </c>
    </row>
    <row r="43" spans="3:20" x14ac:dyDescent="0.3">
      <c r="C43" s="31" t="s">
        <v>79</v>
      </c>
      <c r="D43" s="15" t="s">
        <v>21</v>
      </c>
      <c r="E43" s="315">
        <v>5.3000000000000001E-5</v>
      </c>
    </row>
    <row r="44" spans="3:20" x14ac:dyDescent="0.3">
      <c r="C44" s="31" t="s">
        <v>81</v>
      </c>
      <c r="D44" s="15" t="s">
        <v>21</v>
      </c>
      <c r="E44" s="89"/>
    </row>
    <row r="45" spans="3:20" ht="12.45" x14ac:dyDescent="0.3">
      <c r="C45" s="31" t="s">
        <v>82</v>
      </c>
      <c r="D45" s="90" t="s">
        <v>21</v>
      </c>
      <c r="E45" s="89"/>
      <c r="M45" s="73"/>
      <c r="N45" s="73"/>
      <c r="O45" s="73"/>
      <c r="P45" s="73"/>
      <c r="Q45" s="73"/>
      <c r="R45" s="73"/>
      <c r="S45" s="73"/>
      <c r="T45" s="73"/>
    </row>
    <row r="46" spans="3:20" x14ac:dyDescent="0.3">
      <c r="C46" s="31" t="s">
        <v>83</v>
      </c>
      <c r="D46" s="15" t="s">
        <v>21</v>
      </c>
      <c r="E46" s="89"/>
    </row>
    <row r="48" spans="3:20" ht="12.45" x14ac:dyDescent="0.3">
      <c r="F48"/>
      <c r="G48"/>
      <c r="H48"/>
    </row>
    <row r="49" spans="6:14" ht="12.45" x14ac:dyDescent="0.3">
      <c r="F49"/>
      <c r="G49"/>
      <c r="H49"/>
    </row>
    <row r="50" spans="6:14" ht="12.45" x14ac:dyDescent="0.3">
      <c r="F50"/>
      <c r="G50"/>
      <c r="H50"/>
    </row>
    <row r="51" spans="6:14" ht="12.45" x14ac:dyDescent="0.3">
      <c r="F51"/>
      <c r="G51"/>
      <c r="H51"/>
    </row>
    <row r="52" spans="6:14" ht="12.45" x14ac:dyDescent="0.3">
      <c r="F52"/>
      <c r="G52"/>
      <c r="H52"/>
    </row>
    <row r="53" spans="6:14" ht="12.45" x14ac:dyDescent="0.3">
      <c r="F53"/>
      <c r="G53"/>
      <c r="H53"/>
    </row>
    <row r="54" spans="6:14" ht="12.45" x14ac:dyDescent="0.3">
      <c r="F54"/>
      <c r="G54"/>
      <c r="H54"/>
    </row>
    <row r="58" spans="6:14" ht="12.45" x14ac:dyDescent="0.3">
      <c r="M58"/>
      <c r="N58"/>
    </row>
    <row r="59" spans="6:14" ht="12.45" x14ac:dyDescent="0.3">
      <c r="M59"/>
      <c r="N59"/>
    </row>
    <row r="60" spans="6:14" ht="12.45" x14ac:dyDescent="0.3">
      <c r="K60"/>
      <c r="L60"/>
      <c r="M60"/>
      <c r="N60"/>
    </row>
    <row r="61" spans="6:14" ht="12.45" x14ac:dyDescent="0.3">
      <c r="K61"/>
      <c r="L61"/>
      <c r="M61"/>
      <c r="N61"/>
    </row>
    <row r="62" spans="6:14" ht="12.45" x14ac:dyDescent="0.3">
      <c r="K62"/>
      <c r="L62"/>
      <c r="M62"/>
      <c r="N62"/>
    </row>
    <row r="63" spans="6:14" ht="12.45" x14ac:dyDescent="0.3">
      <c r="K63"/>
      <c r="L63"/>
      <c r="M63"/>
      <c r="N63"/>
    </row>
    <row r="64" spans="6:14" ht="12.45" x14ac:dyDescent="0.3">
      <c r="K64"/>
      <c r="L64"/>
      <c r="M64"/>
      <c r="N64"/>
    </row>
    <row r="66" spans="11:20" ht="12.45" x14ac:dyDescent="0.3">
      <c r="N66" s="182"/>
      <c r="O66" s="182"/>
      <c r="P66" s="182"/>
      <c r="S66" s="183"/>
    </row>
    <row r="67" spans="11:20" ht="12.45" x14ac:dyDescent="0.3">
      <c r="N67" s="182"/>
      <c r="O67" s="182"/>
      <c r="P67" s="182"/>
    </row>
    <row r="69" spans="11:20" x14ac:dyDescent="0.3">
      <c r="K69" s="32"/>
      <c r="L69" s="32" t="s">
        <v>283</v>
      </c>
      <c r="M69" s="32" t="s">
        <v>286</v>
      </c>
      <c r="N69" s="32" t="s">
        <v>565</v>
      </c>
      <c r="T69" s="552"/>
    </row>
    <row r="70" spans="11:20" x14ac:dyDescent="0.3">
      <c r="K70" s="32" t="s">
        <v>284</v>
      </c>
      <c r="L70" s="546">
        <f>7865369/12000</f>
        <v>655.44741666666664</v>
      </c>
      <c r="M70" s="546">
        <f>6841983/12000</f>
        <v>570.16525000000001</v>
      </c>
      <c r="N70" s="547">
        <f>1-(M70/L70)</f>
        <v>0.13011290379383345</v>
      </c>
    </row>
    <row r="71" spans="11:20" x14ac:dyDescent="0.3">
      <c r="K71" s="32" t="s">
        <v>285</v>
      </c>
      <c r="L71" s="546">
        <f>5300225/12000</f>
        <v>441.68541666666664</v>
      </c>
      <c r="M71" s="546">
        <f>4761647/12000</f>
        <v>396.80391666666668</v>
      </c>
      <c r="N71" s="547">
        <f>1-(M71/L71)</f>
        <v>0.10161417675664708</v>
      </c>
    </row>
    <row r="74" spans="11:20" ht="12.45" x14ac:dyDescent="0.3">
      <c r="K74"/>
      <c r="L74"/>
    </row>
    <row r="75" spans="11:20" ht="12.45" x14ac:dyDescent="0.3">
      <c r="K75"/>
      <c r="L75"/>
    </row>
    <row r="76" spans="11:20" ht="12.45" x14ac:dyDescent="0.3">
      <c r="K76"/>
      <c r="L76"/>
    </row>
    <row r="77" spans="11:20" ht="12.45" x14ac:dyDescent="0.3">
      <c r="K77"/>
      <c r="L77"/>
    </row>
  </sheetData>
  <mergeCells count="10">
    <mergeCell ref="C2:C3"/>
    <mergeCell ref="D2:E2"/>
    <mergeCell ref="F2:G2"/>
    <mergeCell ref="H2:I2"/>
    <mergeCell ref="C30:D30"/>
    <mergeCell ref="C25:D25"/>
    <mergeCell ref="S20:U20"/>
    <mergeCell ref="V20:X20"/>
    <mergeCell ref="P20:R20"/>
    <mergeCell ref="L20:N20"/>
  </mergeCells>
  <phoneticPr fontId="22" type="noConversion"/>
  <pageMargins left="0.7" right="0.7" top="0.75" bottom="0.75" header="0.3" footer="0.3"/>
  <pageSetup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68271-5FDE-4020-AABC-4326EBBF4DBB}">
  <sheetPr>
    <tabColor theme="7" tint="0.59999389629810485"/>
  </sheetPr>
  <dimension ref="B1:DR63"/>
  <sheetViews>
    <sheetView zoomScale="50" zoomScaleNormal="50" workbookViewId="0">
      <selection activeCell="L39" sqref="L39"/>
    </sheetView>
  </sheetViews>
  <sheetFormatPr defaultRowHeight="12.45" x14ac:dyDescent="0.3"/>
  <cols>
    <col min="1" max="1" width="4.3828125" customWidth="1"/>
    <col min="2" max="2" width="12.3828125" bestFit="1" customWidth="1"/>
    <col min="3" max="3" width="10.3046875" customWidth="1"/>
    <col min="4" max="4" width="8" bestFit="1" customWidth="1"/>
    <col min="5" max="5" width="10.53515625" customWidth="1"/>
    <col min="6" max="6" width="10.3828125" hidden="1" customWidth="1"/>
    <col min="7" max="7" width="9" bestFit="1" customWidth="1"/>
    <col min="8" max="10" width="8.3828125" bestFit="1" customWidth="1"/>
    <col min="11" max="15" width="11.69140625" customWidth="1"/>
    <col min="16" max="16" width="7.3046875" customWidth="1"/>
    <col min="17" max="17" width="18.69140625" bestFit="1" customWidth="1"/>
    <col min="18" max="18" width="10.69140625" bestFit="1" customWidth="1"/>
    <col min="19" max="19" width="10.3828125" bestFit="1" customWidth="1"/>
    <col min="20" max="20" width="9.3828125" hidden="1" customWidth="1"/>
    <col min="21" max="22" width="11.3828125" hidden="1" customWidth="1"/>
    <col min="23" max="23" width="8.84375" bestFit="1" customWidth="1"/>
    <col min="24" max="24" width="12.15234375" bestFit="1" customWidth="1"/>
    <col min="25" max="25" width="5.84375" bestFit="1" customWidth="1"/>
    <col min="26" max="26" width="16.53515625" bestFit="1" customWidth="1"/>
    <col min="27" max="27" width="9.69140625" bestFit="1" customWidth="1"/>
    <col min="28" max="28" width="10.53515625" bestFit="1" customWidth="1"/>
    <col min="29" max="29" width="9.3828125" hidden="1" customWidth="1"/>
    <col min="30" max="31" width="11.3828125" hidden="1" customWidth="1"/>
    <col min="32" max="32" width="8.84375" bestFit="1" customWidth="1"/>
    <col min="33" max="33" width="12.15234375" bestFit="1" customWidth="1"/>
    <col min="34" max="34" width="5.84375" bestFit="1" customWidth="1"/>
    <col min="35" max="35" width="16.53515625" bestFit="1" customWidth="1"/>
    <col min="36" max="36" width="14.53515625" bestFit="1" customWidth="1"/>
    <col min="37" max="37" width="9.69140625" bestFit="1" customWidth="1"/>
    <col min="38" max="38" width="9.3828125" hidden="1" customWidth="1"/>
    <col min="39" max="40" width="11.3828125" hidden="1" customWidth="1"/>
    <col min="41" max="41" width="6.69140625" bestFit="1" customWidth="1"/>
    <col min="42" max="42" width="14.3046875" bestFit="1" customWidth="1"/>
    <col min="43" max="43" width="5.84375" bestFit="1" customWidth="1"/>
    <col min="44" max="44" width="15.84375" hidden="1" customWidth="1"/>
    <col min="45" max="45" width="8.3828125" hidden="1" customWidth="1"/>
    <col min="46" max="46" width="9.84375" hidden="1" customWidth="1"/>
    <col min="47" max="47" width="9" hidden="1" customWidth="1"/>
    <col min="48" max="49" width="10.53515625" hidden="1" customWidth="1"/>
    <col min="50" max="50" width="6.3828125" hidden="1" customWidth="1"/>
    <col min="51" max="51" width="12.15234375" hidden="1" customWidth="1"/>
    <col min="52" max="52" width="16.53515625" bestFit="1" customWidth="1"/>
    <col min="53" max="53" width="8.84375" bestFit="1" customWidth="1"/>
    <col min="54" max="54" width="9.53515625" bestFit="1" customWidth="1"/>
    <col min="55" max="55" width="9.3828125" hidden="1" customWidth="1"/>
    <col min="56" max="56" width="11.3828125" hidden="1" customWidth="1"/>
    <col min="57" max="57" width="11" hidden="1" customWidth="1"/>
    <col min="58" max="58" width="11.69140625" bestFit="1" customWidth="1"/>
    <col min="59" max="59" width="5.84375" bestFit="1" customWidth="1"/>
    <col min="60" max="60" width="16.53515625" bestFit="1" customWidth="1"/>
    <col min="61" max="61" width="8.84375" bestFit="1" customWidth="1"/>
    <col min="62" max="62" width="9.53515625" bestFit="1" customWidth="1"/>
    <col min="63" max="63" width="9.3046875" hidden="1" customWidth="1"/>
    <col min="64" max="65" width="11.3046875" hidden="1" customWidth="1"/>
    <col min="66" max="66" width="9.84375" bestFit="1" customWidth="1"/>
    <col min="67" max="67" width="6.3046875" bestFit="1" customWidth="1"/>
    <col min="68" max="68" width="16.53515625" bestFit="1" customWidth="1"/>
    <col min="69" max="69" width="10.3828125" bestFit="1" customWidth="1"/>
    <col min="70" max="70" width="10.53515625" bestFit="1" customWidth="1"/>
    <col min="71" max="71" width="9.3046875" hidden="1" customWidth="1"/>
    <col min="72" max="73" width="11.3046875" hidden="1" customWidth="1"/>
    <col min="74" max="74" width="7.3828125" bestFit="1" customWidth="1"/>
    <col min="75" max="75" width="4.84375" bestFit="1" customWidth="1"/>
    <col min="76" max="76" width="16.53515625" bestFit="1" customWidth="1"/>
    <col min="77" max="77" width="10.15234375" bestFit="1" customWidth="1"/>
    <col min="78" max="78" width="10.53515625" bestFit="1" customWidth="1"/>
    <col min="79" max="79" width="9.3046875" hidden="1" customWidth="1"/>
    <col min="80" max="81" width="11.3046875" hidden="1" customWidth="1"/>
    <col min="82" max="82" width="8.3828125" bestFit="1" customWidth="1"/>
    <col min="83" max="83" width="5.3828125" bestFit="1" customWidth="1"/>
    <col min="84" max="84" width="16.53515625" bestFit="1" customWidth="1"/>
    <col min="85" max="85" width="8.84375" bestFit="1" customWidth="1"/>
    <col min="86" max="86" width="10.53515625" bestFit="1" customWidth="1"/>
    <col min="87" max="87" width="9.3046875" hidden="1" customWidth="1"/>
    <col min="88" max="89" width="11.3046875" hidden="1" customWidth="1"/>
    <col min="90" max="90" width="7.3828125" bestFit="1" customWidth="1"/>
    <col min="91" max="91" width="2.84375" bestFit="1" customWidth="1"/>
    <col min="92" max="92" width="17.84375" customWidth="1"/>
    <col min="95" max="97" width="0" hidden="1" customWidth="1"/>
    <col min="100" max="100" width="15.15234375" customWidth="1"/>
    <col min="103" max="105" width="0" hidden="1" customWidth="1"/>
    <col min="108" max="108" width="19" bestFit="1" customWidth="1"/>
    <col min="111" max="113" width="0" hidden="1" customWidth="1"/>
    <col min="116" max="116" width="20.15234375" bestFit="1" customWidth="1"/>
    <col min="119" max="121" width="0" hidden="1" customWidth="1"/>
  </cols>
  <sheetData>
    <row r="1" spans="5:122" x14ac:dyDescent="0.3">
      <c r="Q1" s="1"/>
      <c r="AR1" s="1"/>
    </row>
    <row r="2" spans="5:122" ht="12.9" thickBot="1" x14ac:dyDescent="0.35">
      <c r="E2" s="97" t="s">
        <v>88</v>
      </c>
      <c r="F2" s="96"/>
      <c r="G2" s="96"/>
      <c r="Q2" s="79" t="str">
        <f>C23</f>
        <v>Worst - Existing</v>
      </c>
      <c r="R2" s="1"/>
      <c r="S2" s="1"/>
      <c r="T2" s="1"/>
      <c r="U2" s="1"/>
      <c r="V2" s="1"/>
      <c r="W2" s="1"/>
      <c r="X2" s="1"/>
      <c r="Z2" s="45" t="str">
        <f>D23</f>
        <v>Mid - Existing</v>
      </c>
      <c r="AI2" s="45" t="str">
        <f>E23</f>
        <v>Best - Existing</v>
      </c>
      <c r="AR2" s="45" t="str">
        <f>F23</f>
        <v>DOE Benchmark - Homes</v>
      </c>
      <c r="AS2" s="1"/>
      <c r="AT2" s="1"/>
      <c r="AU2" s="1"/>
      <c r="AV2" s="1"/>
      <c r="AW2" s="1"/>
      <c r="AX2" s="1"/>
      <c r="AZ2" s="45" t="str">
        <f>G23</f>
        <v>Worst - Wx</v>
      </c>
      <c r="BH2" s="45" t="str">
        <f>H23</f>
        <v>Mid - Wx</v>
      </c>
      <c r="BP2" s="45" t="str">
        <f>I23</f>
        <v>Best - Wx</v>
      </c>
      <c r="BX2" s="227" t="str">
        <f>J23</f>
        <v>Worst - Geo</v>
      </c>
      <c r="BY2" s="228"/>
      <c r="BZ2" s="228"/>
      <c r="CA2" s="228"/>
      <c r="CB2" s="228"/>
      <c r="CC2" s="228"/>
      <c r="CD2" s="228"/>
      <c r="CE2" s="228"/>
      <c r="CF2" s="227" t="str">
        <f>K23</f>
        <v>Mid - Geo</v>
      </c>
      <c r="CG2" s="228"/>
      <c r="CH2" s="228"/>
      <c r="CI2" s="228"/>
      <c r="CJ2" s="228"/>
      <c r="CK2" s="228"/>
      <c r="CL2" s="228"/>
      <c r="CM2" s="228"/>
      <c r="CN2" s="227" t="str">
        <f>L23</f>
        <v xml:space="preserve">Best - Geo </v>
      </c>
      <c r="CO2" s="228"/>
      <c r="CP2" s="228"/>
      <c r="CQ2" s="228"/>
      <c r="CR2" s="228"/>
      <c r="CS2" s="228"/>
      <c r="CT2" s="228"/>
      <c r="CU2" s="228"/>
      <c r="CV2" s="227" t="str">
        <f>M23</f>
        <v>Worst - Geo + Wx</v>
      </c>
      <c r="CW2" s="228"/>
      <c r="CX2" s="228"/>
      <c r="CY2" s="228"/>
      <c r="CZ2" s="228"/>
      <c r="DA2" s="228"/>
      <c r="DB2" s="228"/>
      <c r="DC2" s="228"/>
      <c r="DD2" s="227" t="str">
        <f>N23</f>
        <v>Mid - Geo + Wx</v>
      </c>
      <c r="DE2" s="228"/>
      <c r="DF2" s="228"/>
      <c r="DG2" s="228"/>
      <c r="DH2" s="228"/>
      <c r="DI2" s="228"/>
      <c r="DJ2" s="228"/>
      <c r="DK2" s="228"/>
      <c r="DL2" s="227" t="str">
        <f>O23</f>
        <v>Best - Geo + Wx</v>
      </c>
    </row>
    <row r="3" spans="5:122" ht="37.75" thickBot="1" x14ac:dyDescent="0.35">
      <c r="E3" s="64" t="s">
        <v>89</v>
      </c>
      <c r="F3" s="64" t="s">
        <v>90</v>
      </c>
      <c r="G3" s="64" t="s">
        <v>91</v>
      </c>
      <c r="H3" s="64" t="s">
        <v>92</v>
      </c>
      <c r="I3" s="64" t="s">
        <v>93</v>
      </c>
      <c r="J3" s="64" t="s">
        <v>94</v>
      </c>
      <c r="K3" s="64" t="s">
        <v>95</v>
      </c>
      <c r="M3" s="1"/>
      <c r="N3" s="1"/>
      <c r="O3" s="1"/>
      <c r="P3" s="22"/>
      <c r="Q3" s="38"/>
      <c r="R3" s="40" t="s">
        <v>287</v>
      </c>
      <c r="S3" s="40" t="s">
        <v>288</v>
      </c>
      <c r="T3" s="40" t="s">
        <v>289</v>
      </c>
      <c r="U3" s="40" t="s">
        <v>290</v>
      </c>
      <c r="V3" s="40" t="s">
        <v>291</v>
      </c>
      <c r="W3" s="40" t="s">
        <v>292</v>
      </c>
      <c r="X3" s="164"/>
      <c r="Z3" s="38"/>
      <c r="AA3" s="40" t="s">
        <v>287</v>
      </c>
      <c r="AB3" s="40" t="s">
        <v>288</v>
      </c>
      <c r="AC3" s="40" t="s">
        <v>289</v>
      </c>
      <c r="AD3" s="40" t="s">
        <v>290</v>
      </c>
      <c r="AE3" s="40" t="s">
        <v>291</v>
      </c>
      <c r="AF3" s="40" t="s">
        <v>292</v>
      </c>
      <c r="AG3" s="164"/>
      <c r="AI3" s="38"/>
      <c r="AJ3" s="40" t="s">
        <v>287</v>
      </c>
      <c r="AK3" s="40" t="s">
        <v>288</v>
      </c>
      <c r="AL3" s="40" t="s">
        <v>289</v>
      </c>
      <c r="AM3" s="40" t="s">
        <v>290</v>
      </c>
      <c r="AN3" s="40" t="s">
        <v>291</v>
      </c>
      <c r="AO3" s="40" t="s">
        <v>292</v>
      </c>
      <c r="AP3" s="164"/>
      <c r="AR3" s="38"/>
      <c r="AS3" s="40" t="s">
        <v>287</v>
      </c>
      <c r="AT3" s="40" t="s">
        <v>288</v>
      </c>
      <c r="AU3" s="40" t="s">
        <v>289</v>
      </c>
      <c r="AV3" s="40" t="s">
        <v>290</v>
      </c>
      <c r="AW3" s="40" t="s">
        <v>291</v>
      </c>
      <c r="AX3" s="40" t="s">
        <v>292</v>
      </c>
      <c r="AZ3" s="38"/>
      <c r="BA3" s="40" t="s">
        <v>287</v>
      </c>
      <c r="BB3" s="40" t="s">
        <v>288</v>
      </c>
      <c r="BC3" s="40" t="s">
        <v>289</v>
      </c>
      <c r="BD3" s="40" t="s">
        <v>290</v>
      </c>
      <c r="BE3" s="40" t="s">
        <v>291</v>
      </c>
      <c r="BF3" s="40" t="s">
        <v>292</v>
      </c>
      <c r="BH3" s="38"/>
      <c r="BI3" s="40" t="s">
        <v>287</v>
      </c>
      <c r="BJ3" s="40" t="s">
        <v>288</v>
      </c>
      <c r="BK3" s="40" t="s">
        <v>289</v>
      </c>
      <c r="BL3" s="40" t="s">
        <v>290</v>
      </c>
      <c r="BM3" s="40" t="s">
        <v>291</v>
      </c>
      <c r="BN3" s="40" t="s">
        <v>292</v>
      </c>
      <c r="BP3" s="38"/>
      <c r="BQ3" s="40" t="s">
        <v>287</v>
      </c>
      <c r="BR3" s="40" t="s">
        <v>288</v>
      </c>
      <c r="BS3" s="40" t="s">
        <v>289</v>
      </c>
      <c r="BT3" s="40" t="s">
        <v>290</v>
      </c>
      <c r="BU3" s="40" t="s">
        <v>291</v>
      </c>
      <c r="BV3" s="190" t="s">
        <v>292</v>
      </c>
      <c r="BX3" s="38"/>
      <c r="BY3" s="40" t="s">
        <v>287</v>
      </c>
      <c r="BZ3" s="40" t="s">
        <v>288</v>
      </c>
      <c r="CA3" s="40" t="s">
        <v>289</v>
      </c>
      <c r="CB3" s="40" t="s">
        <v>290</v>
      </c>
      <c r="CC3" s="40" t="s">
        <v>291</v>
      </c>
      <c r="CD3" s="190" t="s">
        <v>292</v>
      </c>
      <c r="CF3" s="38"/>
      <c r="CG3" s="40" t="s">
        <v>287</v>
      </c>
      <c r="CH3" s="40" t="s">
        <v>288</v>
      </c>
      <c r="CI3" s="40" t="s">
        <v>289</v>
      </c>
      <c r="CJ3" s="40" t="s">
        <v>290</v>
      </c>
      <c r="CK3" s="40" t="s">
        <v>291</v>
      </c>
      <c r="CL3" s="40" t="s">
        <v>292</v>
      </c>
      <c r="CN3" s="38"/>
      <c r="CO3" s="40" t="s">
        <v>287</v>
      </c>
      <c r="CP3" s="40" t="s">
        <v>288</v>
      </c>
      <c r="CQ3" s="40" t="s">
        <v>289</v>
      </c>
      <c r="CR3" s="40" t="s">
        <v>290</v>
      </c>
      <c r="CS3" s="40" t="s">
        <v>291</v>
      </c>
      <c r="CT3" s="40" t="s">
        <v>292</v>
      </c>
      <c r="CV3" s="38"/>
      <c r="CW3" s="40" t="s">
        <v>287</v>
      </c>
      <c r="CX3" s="40" t="s">
        <v>288</v>
      </c>
      <c r="CY3" s="40" t="s">
        <v>289</v>
      </c>
      <c r="CZ3" s="40" t="s">
        <v>290</v>
      </c>
      <c r="DA3" s="40" t="s">
        <v>291</v>
      </c>
      <c r="DB3" s="40" t="s">
        <v>292</v>
      </c>
      <c r="DD3" s="38"/>
      <c r="DE3" s="40" t="s">
        <v>287</v>
      </c>
      <c r="DF3" s="40" t="s">
        <v>288</v>
      </c>
      <c r="DG3" s="40" t="s">
        <v>289</v>
      </c>
      <c r="DH3" s="40" t="s">
        <v>290</v>
      </c>
      <c r="DI3" s="40" t="s">
        <v>291</v>
      </c>
      <c r="DJ3" s="40" t="s">
        <v>292</v>
      </c>
      <c r="DL3" s="38"/>
      <c r="DM3" s="40" t="s">
        <v>287</v>
      </c>
      <c r="DN3" s="40" t="s">
        <v>288</v>
      </c>
      <c r="DO3" s="40" t="s">
        <v>289</v>
      </c>
      <c r="DP3" s="40" t="s">
        <v>290</v>
      </c>
      <c r="DQ3" s="40" t="s">
        <v>291</v>
      </c>
      <c r="DR3" s="40" t="s">
        <v>292</v>
      </c>
    </row>
    <row r="4" spans="5:122" ht="12.9" thickBot="1" x14ac:dyDescent="0.35">
      <c r="E4" s="3"/>
      <c r="F4" s="3" t="s">
        <v>101</v>
      </c>
      <c r="G4" s="3"/>
      <c r="H4" s="3"/>
      <c r="I4" s="3"/>
      <c r="J4" s="3"/>
      <c r="K4" s="3"/>
      <c r="L4" s="1"/>
      <c r="M4" s="1"/>
      <c r="N4" s="1"/>
      <c r="O4" s="1"/>
      <c r="P4" s="1"/>
      <c r="Q4" s="162" t="s">
        <v>90</v>
      </c>
      <c r="R4" s="162">
        <v>0</v>
      </c>
      <c r="S4" s="162">
        <v>73803.520000000004</v>
      </c>
      <c r="T4" s="41"/>
      <c r="U4" s="41"/>
      <c r="V4" s="41"/>
      <c r="W4" s="41"/>
      <c r="X4" s="66"/>
      <c r="Z4" s="162" t="s">
        <v>90</v>
      </c>
      <c r="AA4" s="162">
        <v>0</v>
      </c>
      <c r="AB4" s="162">
        <v>57729</v>
      </c>
      <c r="AC4" s="41"/>
      <c r="AD4" s="41"/>
      <c r="AE4" s="41"/>
      <c r="AF4" s="41"/>
      <c r="AG4" s="66"/>
      <c r="AI4" s="162" t="s">
        <v>90</v>
      </c>
      <c r="AJ4" s="162">
        <v>0</v>
      </c>
      <c r="AK4" s="162">
        <v>44339.3</v>
      </c>
      <c r="AL4" s="41"/>
      <c r="AM4" s="41"/>
      <c r="AN4" s="41"/>
      <c r="AO4" s="41"/>
      <c r="AP4" s="66"/>
      <c r="AR4" s="162" t="s">
        <v>90</v>
      </c>
      <c r="AS4" s="162">
        <v>0</v>
      </c>
      <c r="AT4" s="162">
        <v>141512.23000000001</v>
      </c>
      <c r="AU4" s="41"/>
      <c r="AV4" s="41"/>
      <c r="AW4" s="41"/>
      <c r="AX4" s="41"/>
      <c r="AZ4" s="162" t="s">
        <v>90</v>
      </c>
      <c r="BA4" s="162">
        <v>0</v>
      </c>
      <c r="BB4" s="162">
        <v>58300.92</v>
      </c>
      <c r="BC4" s="41"/>
      <c r="BD4" s="41"/>
      <c r="BE4" s="41"/>
      <c r="BF4" s="41"/>
      <c r="BH4" s="162" t="s">
        <v>90</v>
      </c>
      <c r="BI4" s="162">
        <v>0</v>
      </c>
      <c r="BJ4" s="162">
        <v>50992.98</v>
      </c>
      <c r="BK4" s="41"/>
      <c r="BL4" s="41"/>
      <c r="BM4" s="41"/>
      <c r="BN4" s="41"/>
      <c r="BP4" s="162" t="s">
        <v>90</v>
      </c>
      <c r="BQ4" s="162">
        <v>0</v>
      </c>
      <c r="BR4" s="162">
        <v>44339.3</v>
      </c>
      <c r="BS4" s="41"/>
      <c r="BT4" s="41"/>
      <c r="BU4" s="41"/>
      <c r="BV4" s="41"/>
      <c r="BX4" s="162" t="s">
        <v>90</v>
      </c>
      <c r="BY4" s="162">
        <v>15663.39</v>
      </c>
      <c r="BZ4" s="162">
        <v>0</v>
      </c>
      <c r="CA4" s="41"/>
      <c r="CB4" s="41"/>
      <c r="CC4" s="41"/>
      <c r="CD4" s="41"/>
      <c r="CF4" s="162" t="s">
        <v>90</v>
      </c>
      <c r="CG4" s="162">
        <v>11846.21</v>
      </c>
      <c r="CH4" s="162">
        <v>0</v>
      </c>
      <c r="CI4" s="41"/>
      <c r="CJ4" s="41"/>
      <c r="CK4" s="41"/>
      <c r="CL4" s="41"/>
      <c r="CN4" s="162" t="s">
        <v>90</v>
      </c>
      <c r="CO4" s="162">
        <v>8815.4500000000007</v>
      </c>
      <c r="CP4" s="162">
        <v>0</v>
      </c>
      <c r="CQ4" s="41"/>
      <c r="CR4" s="41"/>
      <c r="CS4" s="41"/>
      <c r="CT4" s="41"/>
      <c r="CV4" s="162" t="s">
        <v>90</v>
      </c>
      <c r="CW4" s="162">
        <v>12174.65</v>
      </c>
      <c r="CX4" s="162">
        <v>0</v>
      </c>
      <c r="CY4" s="41"/>
      <c r="CZ4" s="41"/>
      <c r="DA4" s="41"/>
      <c r="DB4" s="41"/>
      <c r="DD4" s="162" t="s">
        <v>90</v>
      </c>
      <c r="DE4" s="162">
        <v>10371.549999999999</v>
      </c>
      <c r="DF4" s="162">
        <v>0</v>
      </c>
      <c r="DG4" s="41"/>
      <c r="DH4" s="41"/>
      <c r="DI4" s="41"/>
      <c r="DJ4" s="41"/>
      <c r="DL4" s="162" t="s">
        <v>90</v>
      </c>
      <c r="DM4" s="162">
        <v>8815.4500000000007</v>
      </c>
      <c r="DN4" s="162">
        <v>0</v>
      </c>
      <c r="DO4" s="41"/>
      <c r="DP4" s="41"/>
      <c r="DQ4" s="41"/>
      <c r="DR4" s="41"/>
    </row>
    <row r="5" spans="5:122" ht="12.9" thickBot="1" x14ac:dyDescent="0.35">
      <c r="E5" s="3"/>
      <c r="F5" s="3"/>
      <c r="G5" s="3" t="s">
        <v>101</v>
      </c>
      <c r="H5" s="3"/>
      <c r="I5" s="3"/>
      <c r="J5" s="3"/>
      <c r="K5" s="3"/>
      <c r="L5" s="1"/>
      <c r="M5" s="1"/>
      <c r="N5" s="1"/>
      <c r="O5" s="1"/>
      <c r="P5" s="1"/>
      <c r="Q5" s="162" t="s">
        <v>91</v>
      </c>
      <c r="R5" s="162">
        <v>8298.2000000000007</v>
      </c>
      <c r="S5" s="162">
        <v>0</v>
      </c>
      <c r="T5" s="41"/>
      <c r="U5" s="41"/>
      <c r="V5" s="41"/>
      <c r="W5" s="41"/>
      <c r="X5" s="191"/>
      <c r="Z5" s="162" t="s">
        <v>91</v>
      </c>
      <c r="AA5" s="162">
        <v>5297.66</v>
      </c>
      <c r="AB5" s="162">
        <v>0</v>
      </c>
      <c r="AC5" s="41"/>
      <c r="AD5" s="41"/>
      <c r="AE5" s="41"/>
      <c r="AF5" s="41"/>
      <c r="AG5" s="191"/>
      <c r="AI5" s="162" t="s">
        <v>91</v>
      </c>
      <c r="AJ5" s="162">
        <v>4199.95</v>
      </c>
      <c r="AK5" s="162">
        <v>0</v>
      </c>
      <c r="AL5" s="41"/>
      <c r="AM5" s="41"/>
      <c r="AN5" s="41"/>
      <c r="AO5" s="41"/>
      <c r="AP5" s="191"/>
      <c r="AR5" s="162" t="s">
        <v>91</v>
      </c>
      <c r="AS5" s="162">
        <v>4618.12</v>
      </c>
      <c r="AT5" s="162">
        <v>0</v>
      </c>
      <c r="AU5" s="41"/>
      <c r="AV5" s="41"/>
      <c r="AW5" s="41"/>
      <c r="AX5" s="41"/>
      <c r="AZ5" s="162" t="s">
        <v>91</v>
      </c>
      <c r="BA5" s="162">
        <v>7580.72</v>
      </c>
      <c r="BB5" s="162">
        <v>0</v>
      </c>
      <c r="BC5" s="41"/>
      <c r="BD5" s="41"/>
      <c r="BE5" s="41"/>
      <c r="BF5" s="41"/>
      <c r="BH5" s="162" t="s">
        <v>91</v>
      </c>
      <c r="BI5" s="162">
        <v>5152.04</v>
      </c>
      <c r="BJ5" s="162">
        <v>0</v>
      </c>
      <c r="BK5" s="41"/>
      <c r="BL5" s="41"/>
      <c r="BM5" s="41"/>
      <c r="BN5" s="41"/>
      <c r="BP5" s="162" t="s">
        <v>91</v>
      </c>
      <c r="BQ5" s="162">
        <v>4199.95</v>
      </c>
      <c r="BR5" s="162">
        <v>0</v>
      </c>
      <c r="BS5" s="41"/>
      <c r="BT5" s="41"/>
      <c r="BU5" s="41"/>
      <c r="BV5" s="41"/>
      <c r="BX5" s="162" t="s">
        <v>91</v>
      </c>
      <c r="BY5" s="162">
        <v>3802.25</v>
      </c>
      <c r="BZ5" s="162">
        <v>0</v>
      </c>
      <c r="CA5" s="41"/>
      <c r="CB5" s="41"/>
      <c r="CC5" s="41"/>
      <c r="CD5" s="41"/>
      <c r="CF5" s="162" t="s">
        <v>91</v>
      </c>
      <c r="CG5" s="162">
        <v>2341.0700000000002</v>
      </c>
      <c r="CH5" s="162">
        <v>0</v>
      </c>
      <c r="CI5" s="41"/>
      <c r="CJ5" s="41"/>
      <c r="CK5" s="41"/>
      <c r="CL5" s="41"/>
      <c r="CN5" s="162" t="s">
        <v>91</v>
      </c>
      <c r="CO5" s="162">
        <v>1971.62</v>
      </c>
      <c r="CP5" s="162">
        <v>0</v>
      </c>
      <c r="CQ5" s="41"/>
      <c r="CR5" s="41"/>
      <c r="CS5" s="41"/>
      <c r="CT5" s="41"/>
      <c r="CV5" s="162" t="s">
        <v>91</v>
      </c>
      <c r="CW5" s="162">
        <v>4034.15</v>
      </c>
      <c r="CX5" s="162">
        <v>0</v>
      </c>
      <c r="CY5" s="41"/>
      <c r="CZ5" s="41"/>
      <c r="DA5" s="41"/>
      <c r="DB5" s="41"/>
      <c r="DD5" s="162" t="s">
        <v>91</v>
      </c>
      <c r="DE5" s="162">
        <v>2332.6799999999998</v>
      </c>
      <c r="DF5" s="162">
        <v>0</v>
      </c>
      <c r="DG5" s="41"/>
      <c r="DH5" s="41"/>
      <c r="DI5" s="41"/>
      <c r="DJ5" s="41"/>
      <c r="DL5" s="162" t="s">
        <v>91</v>
      </c>
      <c r="DM5" s="162">
        <v>1971.62</v>
      </c>
      <c r="DN5" s="162">
        <v>0</v>
      </c>
      <c r="DO5" s="41"/>
      <c r="DP5" s="41"/>
      <c r="DQ5" s="41"/>
      <c r="DR5" s="41"/>
    </row>
    <row r="6" spans="5:122" ht="12.9" thickBot="1" x14ac:dyDescent="0.35">
      <c r="E6" s="3" t="s">
        <v>101</v>
      </c>
      <c r="F6" s="3"/>
      <c r="G6" s="3"/>
      <c r="H6" s="3"/>
      <c r="I6" s="3"/>
      <c r="J6" s="3"/>
      <c r="K6" s="3"/>
      <c r="L6" s="1"/>
      <c r="M6" s="1"/>
      <c r="N6" s="1"/>
      <c r="O6" s="1"/>
      <c r="P6" s="1"/>
      <c r="Q6" s="162" t="s">
        <v>108</v>
      </c>
      <c r="R6" s="162">
        <v>2400.63</v>
      </c>
      <c r="S6" s="162">
        <v>0</v>
      </c>
      <c r="T6" s="41"/>
      <c r="U6" s="41"/>
      <c r="V6" s="41"/>
      <c r="W6" s="41"/>
      <c r="X6" s="66"/>
      <c r="Z6" s="162" t="s">
        <v>108</v>
      </c>
      <c r="AA6" s="162">
        <v>2400.63</v>
      </c>
      <c r="AB6" s="162">
        <v>0</v>
      </c>
      <c r="AC6" s="41"/>
      <c r="AD6" s="41"/>
      <c r="AE6" s="41"/>
      <c r="AF6" s="41"/>
      <c r="AG6" s="66"/>
      <c r="AI6" s="162" t="s">
        <v>108</v>
      </c>
      <c r="AJ6" s="162">
        <v>2400.63</v>
      </c>
      <c r="AK6" s="162">
        <v>0</v>
      </c>
      <c r="AL6" s="41"/>
      <c r="AM6" s="41"/>
      <c r="AN6" s="41"/>
      <c r="AO6" s="41"/>
      <c r="AP6" s="66"/>
      <c r="AR6" s="162" t="s">
        <v>108</v>
      </c>
      <c r="AS6" s="162">
        <v>5537.46</v>
      </c>
      <c r="AT6" s="162">
        <v>0</v>
      </c>
      <c r="AU6" s="41"/>
      <c r="AV6" s="41"/>
      <c r="AW6" s="41"/>
      <c r="AX6" s="41"/>
      <c r="AZ6" s="162" t="s">
        <v>108</v>
      </c>
      <c r="BA6" s="162">
        <v>2400.63</v>
      </c>
      <c r="BB6" s="162">
        <v>0</v>
      </c>
      <c r="BC6" s="41"/>
      <c r="BD6" s="41"/>
      <c r="BE6" s="41"/>
      <c r="BF6" s="41"/>
      <c r="BH6" s="162" t="s">
        <v>108</v>
      </c>
      <c r="BI6" s="162">
        <v>2400.63</v>
      </c>
      <c r="BJ6" s="162">
        <v>0</v>
      </c>
      <c r="BK6" s="41"/>
      <c r="BL6" s="41"/>
      <c r="BM6" s="41"/>
      <c r="BN6" s="41"/>
      <c r="BP6" s="162" t="s">
        <v>108</v>
      </c>
      <c r="BQ6" s="162">
        <v>2400.63</v>
      </c>
      <c r="BR6" s="162">
        <v>0</v>
      </c>
      <c r="BS6" s="41"/>
      <c r="BT6" s="41"/>
      <c r="BU6" s="41"/>
      <c r="BV6" s="41"/>
      <c r="BX6" s="162" t="s">
        <v>108</v>
      </c>
      <c r="BY6" s="162">
        <v>2400.63</v>
      </c>
      <c r="BZ6" s="162">
        <v>0</v>
      </c>
      <c r="CA6" s="41"/>
      <c r="CB6" s="41"/>
      <c r="CC6" s="41"/>
      <c r="CD6" s="41"/>
      <c r="CF6" s="162" t="s">
        <v>108</v>
      </c>
      <c r="CG6" s="162">
        <v>2400.63</v>
      </c>
      <c r="CH6" s="162">
        <v>0</v>
      </c>
      <c r="CI6" s="41"/>
      <c r="CJ6" s="41"/>
      <c r="CK6" s="41"/>
      <c r="CL6" s="41"/>
      <c r="CN6" s="162" t="s">
        <v>108</v>
      </c>
      <c r="CO6" s="162">
        <v>2400.63</v>
      </c>
      <c r="CP6" s="162">
        <v>0</v>
      </c>
      <c r="CQ6" s="41"/>
      <c r="CR6" s="41"/>
      <c r="CS6" s="41"/>
      <c r="CT6" s="41"/>
      <c r="CV6" s="162" t="s">
        <v>108</v>
      </c>
      <c r="CW6" s="162">
        <v>2400.63</v>
      </c>
      <c r="CX6" s="162">
        <v>0</v>
      </c>
      <c r="CY6" s="41"/>
      <c r="CZ6" s="41"/>
      <c r="DA6" s="41"/>
      <c r="DB6" s="41"/>
      <c r="DD6" s="162" t="s">
        <v>108</v>
      </c>
      <c r="DE6" s="162">
        <v>2400.63</v>
      </c>
      <c r="DF6" s="162">
        <v>0</v>
      </c>
      <c r="DG6" s="41"/>
      <c r="DH6" s="41"/>
      <c r="DI6" s="41"/>
      <c r="DJ6" s="41"/>
      <c r="DL6" s="162" t="s">
        <v>108</v>
      </c>
      <c r="DM6" s="162">
        <v>2400.63</v>
      </c>
      <c r="DN6" s="162">
        <v>0</v>
      </c>
      <c r="DO6" s="41"/>
      <c r="DP6" s="41"/>
      <c r="DQ6" s="41"/>
      <c r="DR6" s="41"/>
    </row>
    <row r="7" spans="5:122" ht="12.9" thickBot="1" x14ac:dyDescent="0.35">
      <c r="E7" s="3" t="s">
        <v>101</v>
      </c>
      <c r="F7" s="3"/>
      <c r="G7" s="3"/>
      <c r="H7" s="3"/>
      <c r="I7" s="3"/>
      <c r="J7" s="3"/>
      <c r="K7" s="3"/>
      <c r="L7" s="1"/>
      <c r="M7" s="1"/>
      <c r="N7" s="1"/>
      <c r="O7" s="1"/>
      <c r="P7" s="1"/>
      <c r="Q7" s="162" t="s">
        <v>109</v>
      </c>
      <c r="R7" s="162">
        <v>0</v>
      </c>
      <c r="S7" s="162">
        <v>0</v>
      </c>
      <c r="T7" s="41"/>
      <c r="U7" s="41"/>
      <c r="V7" s="41"/>
      <c r="W7" s="41"/>
      <c r="X7" s="66"/>
      <c r="Z7" s="162" t="s">
        <v>109</v>
      </c>
      <c r="AA7" s="162">
        <v>0</v>
      </c>
      <c r="AB7" s="162">
        <v>0</v>
      </c>
      <c r="AC7" s="41"/>
      <c r="AD7" s="41"/>
      <c r="AE7" s="41"/>
      <c r="AF7" s="41"/>
      <c r="AG7" s="66"/>
      <c r="AI7" s="162" t="s">
        <v>109</v>
      </c>
      <c r="AJ7" s="162">
        <v>0</v>
      </c>
      <c r="AK7" s="162">
        <v>0</v>
      </c>
      <c r="AL7" s="41"/>
      <c r="AM7" s="41"/>
      <c r="AN7" s="41"/>
      <c r="AO7" s="41"/>
      <c r="AP7" s="66"/>
      <c r="AR7" s="162" t="s">
        <v>109</v>
      </c>
      <c r="AS7" s="162">
        <v>1312.91</v>
      </c>
      <c r="AT7" s="162">
        <v>0</v>
      </c>
      <c r="AU7" s="41"/>
      <c r="AV7" s="41"/>
      <c r="AW7" s="41"/>
      <c r="AX7" s="41"/>
      <c r="AZ7" s="162" t="s">
        <v>109</v>
      </c>
      <c r="BA7" s="162">
        <v>0</v>
      </c>
      <c r="BB7" s="162">
        <v>0</v>
      </c>
      <c r="BC7" s="41"/>
      <c r="BD7" s="41"/>
      <c r="BE7" s="41"/>
      <c r="BF7" s="41"/>
      <c r="BH7" s="162" t="s">
        <v>109</v>
      </c>
      <c r="BI7" s="162">
        <v>0</v>
      </c>
      <c r="BJ7" s="162">
        <v>0</v>
      </c>
      <c r="BK7" s="41"/>
      <c r="BL7" s="41"/>
      <c r="BM7" s="41"/>
      <c r="BN7" s="41"/>
      <c r="BP7" s="162" t="s">
        <v>109</v>
      </c>
      <c r="BQ7" s="162">
        <v>0</v>
      </c>
      <c r="BR7" s="162">
        <v>0</v>
      </c>
      <c r="BS7" s="41"/>
      <c r="BT7" s="41"/>
      <c r="BU7" s="41"/>
      <c r="BV7" s="41"/>
      <c r="BX7" s="162" t="s">
        <v>109</v>
      </c>
      <c r="BY7" s="162">
        <v>0</v>
      </c>
      <c r="BZ7" s="162">
        <v>0</v>
      </c>
      <c r="CA7" s="41"/>
      <c r="CB7" s="41"/>
      <c r="CC7" s="41"/>
      <c r="CD7" s="41"/>
      <c r="CF7" s="162" t="s">
        <v>109</v>
      </c>
      <c r="CG7" s="162">
        <v>0</v>
      </c>
      <c r="CH7" s="162">
        <v>0</v>
      </c>
      <c r="CI7" s="41"/>
      <c r="CJ7" s="41"/>
      <c r="CK7" s="41"/>
      <c r="CL7" s="41"/>
      <c r="CN7" s="162" t="s">
        <v>109</v>
      </c>
      <c r="CO7" s="162">
        <v>0</v>
      </c>
      <c r="CP7" s="162">
        <v>0</v>
      </c>
      <c r="CQ7" s="41"/>
      <c r="CR7" s="41"/>
      <c r="CS7" s="41"/>
      <c r="CT7" s="41"/>
      <c r="CV7" s="162" t="s">
        <v>109</v>
      </c>
      <c r="CW7" s="162">
        <v>0</v>
      </c>
      <c r="CX7" s="162">
        <v>0</v>
      </c>
      <c r="CY7" s="41"/>
      <c r="CZ7" s="41"/>
      <c r="DA7" s="41"/>
      <c r="DB7" s="41"/>
      <c r="DD7" s="162" t="s">
        <v>109</v>
      </c>
      <c r="DE7" s="162">
        <v>0</v>
      </c>
      <c r="DF7" s="162">
        <v>0</v>
      </c>
      <c r="DG7" s="41"/>
      <c r="DH7" s="41"/>
      <c r="DI7" s="41"/>
      <c r="DJ7" s="41"/>
      <c r="DL7" s="162" t="s">
        <v>109</v>
      </c>
      <c r="DM7" s="162">
        <v>0</v>
      </c>
      <c r="DN7" s="162">
        <v>0</v>
      </c>
      <c r="DO7" s="41"/>
      <c r="DP7" s="41"/>
      <c r="DQ7" s="41"/>
      <c r="DR7" s="41"/>
    </row>
    <row r="8" spans="5:122" ht="25.3" thickBot="1" x14ac:dyDescent="0.35">
      <c r="E8" s="3"/>
      <c r="F8" s="3"/>
      <c r="G8" s="3"/>
      <c r="H8" s="3"/>
      <c r="I8" s="3"/>
      <c r="J8" s="3" t="s">
        <v>101</v>
      </c>
      <c r="K8" s="3"/>
      <c r="L8" s="1"/>
      <c r="M8" s="1"/>
      <c r="N8" s="1"/>
      <c r="O8" s="1"/>
      <c r="P8" s="1"/>
      <c r="Q8" s="162" t="s">
        <v>110</v>
      </c>
      <c r="R8" s="162">
        <v>7087.09</v>
      </c>
      <c r="S8" s="162">
        <v>2024.88</v>
      </c>
      <c r="T8" s="41"/>
      <c r="U8" s="41"/>
      <c r="V8" s="41"/>
      <c r="W8" s="41"/>
      <c r="X8" s="66"/>
      <c r="Z8" s="162" t="s">
        <v>110</v>
      </c>
      <c r="AA8" s="162">
        <v>6074.65</v>
      </c>
      <c r="AB8" s="162">
        <v>2024.88</v>
      </c>
      <c r="AC8" s="41"/>
      <c r="AD8" s="41"/>
      <c r="AE8" s="41"/>
      <c r="AF8" s="41"/>
      <c r="AG8" s="66"/>
      <c r="AI8" s="162" t="s">
        <v>110</v>
      </c>
      <c r="AJ8" s="162">
        <v>5062.21</v>
      </c>
      <c r="AK8" s="162">
        <v>2024.88</v>
      </c>
      <c r="AL8" s="41"/>
      <c r="AM8" s="41"/>
      <c r="AN8" s="41"/>
      <c r="AO8" s="41"/>
      <c r="AP8" s="66"/>
      <c r="AR8" s="162" t="s">
        <v>110</v>
      </c>
      <c r="AS8" s="162">
        <v>24063.37</v>
      </c>
      <c r="AT8" s="162">
        <v>11013.86</v>
      </c>
      <c r="AU8" s="41"/>
      <c r="AV8" s="41"/>
      <c r="AW8" s="41"/>
      <c r="AX8" s="41"/>
      <c r="AZ8" s="162" t="s">
        <v>110</v>
      </c>
      <c r="BA8" s="162">
        <v>7087.09</v>
      </c>
      <c r="BB8" s="162">
        <v>2024.88</v>
      </c>
      <c r="BC8" s="41"/>
      <c r="BD8" s="41"/>
      <c r="BE8" s="41"/>
      <c r="BF8" s="41"/>
      <c r="BH8" s="162" t="s">
        <v>110</v>
      </c>
      <c r="BI8" s="162">
        <v>6074.65</v>
      </c>
      <c r="BJ8" s="162">
        <v>2024.88</v>
      </c>
      <c r="BK8" s="41"/>
      <c r="BL8" s="41"/>
      <c r="BM8" s="41"/>
      <c r="BN8" s="41"/>
      <c r="BP8" s="162" t="s">
        <v>110</v>
      </c>
      <c r="BQ8" s="162">
        <v>5062.21</v>
      </c>
      <c r="BR8" s="162">
        <v>2024.88</v>
      </c>
      <c r="BS8" s="41"/>
      <c r="BT8" s="41"/>
      <c r="BU8" s="41"/>
      <c r="BV8" s="41"/>
      <c r="BX8" s="162" t="s">
        <v>110</v>
      </c>
      <c r="BY8" s="162">
        <v>7087.09</v>
      </c>
      <c r="BZ8" s="162">
        <v>2024.88</v>
      </c>
      <c r="CA8" s="41"/>
      <c r="CB8" s="41"/>
      <c r="CC8" s="41"/>
      <c r="CD8" s="41"/>
      <c r="CF8" s="162" t="s">
        <v>110</v>
      </c>
      <c r="CG8" s="162">
        <v>6074.65</v>
      </c>
      <c r="CH8" s="162">
        <v>2024.88</v>
      </c>
      <c r="CI8" s="41"/>
      <c r="CJ8" s="41"/>
      <c r="CK8" s="41"/>
      <c r="CL8" s="41"/>
      <c r="CN8" s="162" t="s">
        <v>110</v>
      </c>
      <c r="CO8" s="162">
        <v>5062.21</v>
      </c>
      <c r="CP8" s="162">
        <v>2024.88</v>
      </c>
      <c r="CQ8" s="41"/>
      <c r="CR8" s="41"/>
      <c r="CS8" s="41"/>
      <c r="CT8" s="41"/>
      <c r="CV8" s="162" t="s">
        <v>110</v>
      </c>
      <c r="CW8" s="162">
        <v>7087.09</v>
      </c>
      <c r="CX8" s="162">
        <v>2024.88</v>
      </c>
      <c r="CY8" s="41"/>
      <c r="CZ8" s="41"/>
      <c r="DA8" s="41"/>
      <c r="DB8" s="41"/>
      <c r="DD8" s="162" t="s">
        <v>110</v>
      </c>
      <c r="DE8" s="162">
        <v>6074.65</v>
      </c>
      <c r="DF8" s="162">
        <v>2024.88</v>
      </c>
      <c r="DG8" s="41"/>
      <c r="DH8" s="41"/>
      <c r="DI8" s="41"/>
      <c r="DJ8" s="41"/>
      <c r="DL8" s="162" t="s">
        <v>110</v>
      </c>
      <c r="DM8" s="162">
        <v>5062.21</v>
      </c>
      <c r="DN8" s="162">
        <v>2024.88</v>
      </c>
      <c r="DO8" s="41"/>
      <c r="DP8" s="41"/>
      <c r="DQ8" s="41"/>
      <c r="DR8" s="41"/>
    </row>
    <row r="9" spans="5:122" ht="25.3" thickBot="1" x14ac:dyDescent="0.35">
      <c r="E9" s="3"/>
      <c r="F9" s="3"/>
      <c r="G9" s="3"/>
      <c r="H9" s="3"/>
      <c r="I9" s="3"/>
      <c r="J9" s="3" t="s">
        <v>101</v>
      </c>
      <c r="K9" s="3"/>
      <c r="L9" s="1"/>
      <c r="M9" s="1"/>
      <c r="N9" s="1"/>
      <c r="O9" s="1"/>
      <c r="P9" s="1"/>
      <c r="Q9" s="162" t="s">
        <v>111</v>
      </c>
      <c r="R9" s="162">
        <v>0</v>
      </c>
      <c r="S9" s="162">
        <v>0</v>
      </c>
      <c r="T9" s="41"/>
      <c r="U9" s="41"/>
      <c r="V9" s="41"/>
      <c r="W9" s="41"/>
      <c r="X9" s="66"/>
      <c r="Z9" s="162" t="s">
        <v>111</v>
      </c>
      <c r="AA9" s="162">
        <v>0</v>
      </c>
      <c r="AB9" s="162">
        <v>0</v>
      </c>
      <c r="AC9" s="41"/>
      <c r="AD9" s="41"/>
      <c r="AE9" s="41"/>
      <c r="AF9" s="41"/>
      <c r="AG9" s="66"/>
      <c r="AI9" s="162" t="s">
        <v>111</v>
      </c>
      <c r="AJ9" s="162">
        <v>0</v>
      </c>
      <c r="AK9" s="162">
        <v>0</v>
      </c>
      <c r="AL9" s="41"/>
      <c r="AM9" s="41"/>
      <c r="AN9" s="41"/>
      <c r="AO9" s="41"/>
      <c r="AP9" s="66"/>
      <c r="AR9" s="162" t="s">
        <v>111</v>
      </c>
      <c r="AS9" s="162">
        <v>0</v>
      </c>
      <c r="AT9" s="162">
        <v>0</v>
      </c>
      <c r="AU9" s="41"/>
      <c r="AV9" s="41"/>
      <c r="AW9" s="41"/>
      <c r="AX9" s="41"/>
      <c r="AZ9" s="162" t="s">
        <v>111</v>
      </c>
      <c r="BA9" s="162">
        <v>0</v>
      </c>
      <c r="BB9" s="162">
        <v>0</v>
      </c>
      <c r="BC9" s="41"/>
      <c r="BD9" s="41"/>
      <c r="BE9" s="41"/>
      <c r="BF9" s="41"/>
      <c r="BH9" s="162" t="s">
        <v>111</v>
      </c>
      <c r="BI9" s="162">
        <v>0</v>
      </c>
      <c r="BJ9" s="162">
        <v>0</v>
      </c>
      <c r="BK9" s="41"/>
      <c r="BL9" s="41"/>
      <c r="BM9" s="41"/>
      <c r="BN9" s="41"/>
      <c r="BP9" s="162" t="s">
        <v>111</v>
      </c>
      <c r="BQ9" s="162">
        <v>0</v>
      </c>
      <c r="BR9" s="162">
        <v>0</v>
      </c>
      <c r="BS9" s="41"/>
      <c r="BT9" s="41"/>
      <c r="BU9" s="41"/>
      <c r="BV9" s="41"/>
      <c r="BX9" s="162" t="s">
        <v>111</v>
      </c>
      <c r="BY9" s="162">
        <v>0</v>
      </c>
      <c r="BZ9" s="162">
        <v>0</v>
      </c>
      <c r="CA9" s="41"/>
      <c r="CB9" s="41"/>
      <c r="CC9" s="41"/>
      <c r="CD9" s="41"/>
      <c r="CF9" s="162" t="s">
        <v>111</v>
      </c>
      <c r="CG9" s="162">
        <v>0</v>
      </c>
      <c r="CH9" s="162">
        <v>0</v>
      </c>
      <c r="CI9" s="41"/>
      <c r="CJ9" s="41"/>
      <c r="CK9" s="41"/>
      <c r="CL9" s="41"/>
      <c r="CN9" s="162" t="s">
        <v>111</v>
      </c>
      <c r="CO9" s="162">
        <v>0</v>
      </c>
      <c r="CP9" s="162">
        <v>0</v>
      </c>
      <c r="CQ9" s="41"/>
      <c r="CR9" s="41"/>
      <c r="CS9" s="41"/>
      <c r="CT9" s="41"/>
      <c r="CV9" s="162" t="s">
        <v>111</v>
      </c>
      <c r="CW9" s="162">
        <v>0</v>
      </c>
      <c r="CX9" s="162">
        <v>0</v>
      </c>
      <c r="CY9" s="41"/>
      <c r="CZ9" s="41"/>
      <c r="DA9" s="41"/>
      <c r="DB9" s="41"/>
      <c r="DD9" s="162" t="s">
        <v>111</v>
      </c>
      <c r="DE9" s="162">
        <v>0</v>
      </c>
      <c r="DF9" s="162">
        <v>0</v>
      </c>
      <c r="DG9" s="41"/>
      <c r="DH9" s="41"/>
      <c r="DI9" s="41"/>
      <c r="DJ9" s="41"/>
      <c r="DL9" s="162" t="s">
        <v>111</v>
      </c>
      <c r="DM9" s="162">
        <v>0</v>
      </c>
      <c r="DN9" s="162">
        <v>0</v>
      </c>
      <c r="DO9" s="41"/>
      <c r="DP9" s="41"/>
      <c r="DQ9" s="41"/>
      <c r="DR9" s="41"/>
    </row>
    <row r="10" spans="5:122" ht="12.9" thickBot="1" x14ac:dyDescent="0.35">
      <c r="E10" s="3"/>
      <c r="F10" s="3"/>
      <c r="G10" s="3"/>
      <c r="H10" s="3"/>
      <c r="I10" s="3" t="s">
        <v>101</v>
      </c>
      <c r="J10" s="3"/>
      <c r="K10" s="3"/>
      <c r="L10" s="1"/>
      <c r="M10" s="1"/>
      <c r="N10" s="1"/>
      <c r="O10" s="1"/>
      <c r="P10" s="1"/>
      <c r="Q10" s="162" t="s">
        <v>102</v>
      </c>
      <c r="R10" s="162">
        <v>7465.88</v>
      </c>
      <c r="S10" s="162">
        <v>0</v>
      </c>
      <c r="T10" s="41"/>
      <c r="U10" s="41"/>
      <c r="V10" s="41"/>
      <c r="W10" s="41"/>
      <c r="X10" s="66"/>
      <c r="Z10" s="162" t="s">
        <v>102</v>
      </c>
      <c r="AA10" s="162">
        <v>5842.81</v>
      </c>
      <c r="AB10" s="162">
        <v>0</v>
      </c>
      <c r="AC10" s="41"/>
      <c r="AD10" s="41"/>
      <c r="AE10" s="41"/>
      <c r="AF10" s="41"/>
      <c r="AG10" s="66"/>
      <c r="AI10" s="162" t="s">
        <v>102</v>
      </c>
      <c r="AJ10" s="162">
        <v>4157.2299999999996</v>
      </c>
      <c r="AK10" s="162">
        <v>0</v>
      </c>
      <c r="AL10" s="41"/>
      <c r="AM10" s="41"/>
      <c r="AN10" s="41"/>
      <c r="AO10" s="41"/>
      <c r="AP10" s="66"/>
      <c r="AR10" s="162" t="s">
        <v>102</v>
      </c>
      <c r="AS10" s="162">
        <v>6054.68</v>
      </c>
      <c r="AT10" s="162">
        <v>0</v>
      </c>
      <c r="AU10" s="41"/>
      <c r="AV10" s="41"/>
      <c r="AW10" s="41"/>
      <c r="AX10" s="41"/>
      <c r="AZ10" s="162" t="s">
        <v>102</v>
      </c>
      <c r="BA10" s="162">
        <v>6028.03</v>
      </c>
      <c r="BB10" s="162">
        <v>0</v>
      </c>
      <c r="BC10" s="41"/>
      <c r="BD10" s="41"/>
      <c r="BE10" s="41"/>
      <c r="BF10" s="41"/>
      <c r="BH10" s="162" t="s">
        <v>102</v>
      </c>
      <c r="BI10" s="162">
        <v>5207.6400000000003</v>
      </c>
      <c r="BJ10" s="162">
        <v>0</v>
      </c>
      <c r="BK10" s="41"/>
      <c r="BL10" s="41"/>
      <c r="BM10" s="41"/>
      <c r="BN10" s="41"/>
      <c r="BP10" s="162" t="s">
        <v>102</v>
      </c>
      <c r="BQ10" s="162">
        <v>4157.2299999999996</v>
      </c>
      <c r="BR10" s="162">
        <v>0</v>
      </c>
      <c r="BS10" s="41"/>
      <c r="BT10" s="41"/>
      <c r="BU10" s="41"/>
      <c r="BV10" s="41"/>
      <c r="BX10" s="162" t="s">
        <v>102</v>
      </c>
      <c r="BY10" s="162">
        <v>2479.58</v>
      </c>
      <c r="BZ10" s="162">
        <v>0</v>
      </c>
      <c r="CA10" s="41"/>
      <c r="CB10" s="41"/>
      <c r="CC10" s="41"/>
      <c r="CD10" s="41"/>
      <c r="CF10" s="162" t="s">
        <v>102</v>
      </c>
      <c r="CG10" s="162">
        <v>2150.02</v>
      </c>
      <c r="CH10" s="162">
        <v>0</v>
      </c>
      <c r="CI10" s="41"/>
      <c r="CJ10" s="41"/>
      <c r="CK10" s="41"/>
      <c r="CL10" s="41"/>
      <c r="CN10" s="162" t="s">
        <v>102</v>
      </c>
      <c r="CO10" s="162">
        <v>1308.05</v>
      </c>
      <c r="CP10" s="162">
        <v>0</v>
      </c>
      <c r="CQ10" s="41"/>
      <c r="CR10" s="41"/>
      <c r="CS10" s="41"/>
      <c r="CT10" s="41"/>
      <c r="CV10" s="162" t="s">
        <v>102</v>
      </c>
      <c r="CW10" s="162">
        <v>1753.72</v>
      </c>
      <c r="CX10" s="162">
        <v>0</v>
      </c>
      <c r="CY10" s="41"/>
      <c r="CZ10" s="41"/>
      <c r="DA10" s="41"/>
      <c r="DB10" s="41"/>
      <c r="DD10" s="162" t="s">
        <v>102</v>
      </c>
      <c r="DE10" s="162">
        <v>1763.29</v>
      </c>
      <c r="DF10" s="162">
        <v>0</v>
      </c>
      <c r="DG10" s="41"/>
      <c r="DH10" s="41"/>
      <c r="DI10" s="41"/>
      <c r="DJ10" s="41"/>
      <c r="DL10" s="162" t="s">
        <v>102</v>
      </c>
      <c r="DM10" s="162">
        <v>1308.05</v>
      </c>
      <c r="DN10" s="162">
        <v>0</v>
      </c>
      <c r="DO10" s="41"/>
      <c r="DP10" s="41"/>
      <c r="DQ10" s="41"/>
      <c r="DR10" s="41"/>
    </row>
    <row r="11" spans="5:122" ht="12.9" thickBot="1" x14ac:dyDescent="0.35">
      <c r="E11" s="3"/>
      <c r="F11" s="3"/>
      <c r="G11" s="3"/>
      <c r="H11" s="3" t="s">
        <v>101</v>
      </c>
      <c r="I11" s="3"/>
      <c r="J11" s="3"/>
      <c r="K11" s="3"/>
      <c r="L11" s="1"/>
      <c r="M11" s="1"/>
      <c r="N11" s="1"/>
      <c r="O11" s="1"/>
      <c r="P11" s="1"/>
      <c r="Q11" s="162" t="s">
        <v>103</v>
      </c>
      <c r="R11" s="162">
        <v>0.94</v>
      </c>
      <c r="S11" s="162">
        <v>0</v>
      </c>
      <c r="T11" s="41"/>
      <c r="U11" s="41"/>
      <c r="V11" s="41"/>
      <c r="W11" s="41"/>
      <c r="X11" s="66"/>
      <c r="Z11" s="162" t="s">
        <v>103</v>
      </c>
      <c r="AA11" s="162">
        <v>0.78</v>
      </c>
      <c r="AB11" s="162">
        <v>0</v>
      </c>
      <c r="AC11" s="41"/>
      <c r="AD11" s="41"/>
      <c r="AE11" s="41"/>
      <c r="AF11" s="41"/>
      <c r="AG11" s="66"/>
      <c r="AI11" s="162" t="s">
        <v>103</v>
      </c>
      <c r="AJ11" s="162">
        <v>0.69</v>
      </c>
      <c r="AK11" s="162">
        <v>0</v>
      </c>
      <c r="AL11" s="41"/>
      <c r="AM11" s="41"/>
      <c r="AN11" s="41"/>
      <c r="AO11" s="41"/>
      <c r="AP11" s="66"/>
      <c r="AR11" s="162" t="s">
        <v>103</v>
      </c>
      <c r="AS11" s="162">
        <v>0</v>
      </c>
      <c r="AT11" s="162">
        <v>0</v>
      </c>
      <c r="AU11" s="41"/>
      <c r="AV11" s="41"/>
      <c r="AW11" s="41"/>
      <c r="AX11" s="41"/>
      <c r="AZ11" s="162" t="s">
        <v>103</v>
      </c>
      <c r="BA11" s="162">
        <v>0.94</v>
      </c>
      <c r="BB11" s="162">
        <v>0</v>
      </c>
      <c r="BC11" s="41"/>
      <c r="BD11" s="41"/>
      <c r="BE11" s="41"/>
      <c r="BF11" s="41"/>
      <c r="BH11" s="162" t="s">
        <v>103</v>
      </c>
      <c r="BI11" s="162">
        <v>0.78</v>
      </c>
      <c r="BJ11" s="162">
        <v>0</v>
      </c>
      <c r="BK11" s="41"/>
      <c r="BL11" s="41"/>
      <c r="BM11" s="41"/>
      <c r="BN11" s="41"/>
      <c r="BP11" s="162" t="s">
        <v>103</v>
      </c>
      <c r="BQ11" s="162">
        <v>0.69</v>
      </c>
      <c r="BR11" s="162">
        <v>0</v>
      </c>
      <c r="BS11" s="41"/>
      <c r="BT11" s="41"/>
      <c r="BU11" s="41"/>
      <c r="BV11" s="41"/>
      <c r="BX11" s="162" t="s">
        <v>103</v>
      </c>
      <c r="BY11" s="162">
        <v>288.02</v>
      </c>
      <c r="BZ11" s="162">
        <v>0</v>
      </c>
      <c r="CA11" s="41"/>
      <c r="CB11" s="41"/>
      <c r="CC11" s="41"/>
      <c r="CD11" s="41"/>
      <c r="CF11" s="162" t="s">
        <v>103</v>
      </c>
      <c r="CG11" s="162">
        <v>221.6</v>
      </c>
      <c r="CH11" s="162">
        <v>0</v>
      </c>
      <c r="CI11" s="41"/>
      <c r="CJ11" s="41"/>
      <c r="CK11" s="41"/>
      <c r="CL11" s="41"/>
      <c r="CN11" s="162" t="s">
        <v>103</v>
      </c>
      <c r="CO11" s="162">
        <v>176.52</v>
      </c>
      <c r="CP11" s="162">
        <v>0</v>
      </c>
      <c r="CQ11" s="41"/>
      <c r="CR11" s="41"/>
      <c r="CS11" s="41"/>
      <c r="CT11" s="41"/>
      <c r="CV11" s="162" t="s">
        <v>103</v>
      </c>
      <c r="CW11" s="162">
        <v>251.83</v>
      </c>
      <c r="CX11" s="162">
        <v>0</v>
      </c>
      <c r="CY11" s="41"/>
      <c r="CZ11" s="41"/>
      <c r="DA11" s="41"/>
      <c r="DB11" s="41"/>
      <c r="DD11" s="162" t="s">
        <v>103</v>
      </c>
      <c r="DE11" s="162">
        <v>202.71</v>
      </c>
      <c r="DF11" s="162">
        <v>0</v>
      </c>
      <c r="DG11" s="41"/>
      <c r="DH11" s="41"/>
      <c r="DI11" s="41"/>
      <c r="DJ11" s="41"/>
      <c r="DL11" s="162" t="s">
        <v>103</v>
      </c>
      <c r="DM11" s="162">
        <v>176.52</v>
      </c>
      <c r="DN11" s="162">
        <v>0</v>
      </c>
      <c r="DO11" s="41"/>
      <c r="DP11" s="41"/>
      <c r="DQ11" s="41"/>
      <c r="DR11" s="41"/>
    </row>
    <row r="12" spans="5:122" ht="12.9" thickBot="1" x14ac:dyDescent="0.35">
      <c r="E12" s="3"/>
      <c r="F12" s="3"/>
      <c r="G12" s="3" t="s">
        <v>101</v>
      </c>
      <c r="H12" s="3"/>
      <c r="I12" s="3"/>
      <c r="J12" s="3"/>
      <c r="K12" s="3"/>
      <c r="L12" s="1"/>
      <c r="M12" s="1"/>
      <c r="N12" s="1"/>
      <c r="O12" s="1"/>
      <c r="P12" s="1"/>
      <c r="Q12" s="162" t="s">
        <v>104</v>
      </c>
      <c r="R12" s="162">
        <v>0</v>
      </c>
      <c r="S12" s="162">
        <v>0</v>
      </c>
      <c r="T12" s="41"/>
      <c r="U12" s="41"/>
      <c r="V12" s="41"/>
      <c r="W12" s="41"/>
      <c r="X12" s="66"/>
      <c r="Z12" s="162" t="s">
        <v>104</v>
      </c>
      <c r="AA12" s="162">
        <v>0</v>
      </c>
      <c r="AB12" s="162">
        <v>0</v>
      </c>
      <c r="AC12" s="41"/>
      <c r="AD12" s="41"/>
      <c r="AE12" s="41"/>
      <c r="AF12" s="41"/>
      <c r="AG12" s="66"/>
      <c r="AI12" s="162" t="s">
        <v>104</v>
      </c>
      <c r="AJ12" s="162">
        <v>0</v>
      </c>
      <c r="AK12" s="162">
        <v>0</v>
      </c>
      <c r="AL12" s="41"/>
      <c r="AM12" s="41"/>
      <c r="AN12" s="41"/>
      <c r="AO12" s="41"/>
      <c r="AP12" s="66"/>
      <c r="AR12" s="162" t="s">
        <v>104</v>
      </c>
      <c r="AS12" s="162">
        <v>0</v>
      </c>
      <c r="AT12" s="162">
        <v>0</v>
      </c>
      <c r="AU12" s="41"/>
      <c r="AV12" s="41"/>
      <c r="AW12" s="41"/>
      <c r="AX12" s="41"/>
      <c r="AZ12" s="162" t="s">
        <v>104</v>
      </c>
      <c r="BA12" s="162">
        <v>0</v>
      </c>
      <c r="BB12" s="162">
        <v>0</v>
      </c>
      <c r="BC12" s="41"/>
      <c r="BD12" s="41"/>
      <c r="BE12" s="41"/>
      <c r="BF12" s="41"/>
      <c r="BH12" s="162" t="s">
        <v>104</v>
      </c>
      <c r="BI12" s="162">
        <v>0</v>
      </c>
      <c r="BJ12" s="162">
        <v>0</v>
      </c>
      <c r="BK12" s="41"/>
      <c r="BL12" s="41"/>
      <c r="BM12" s="41"/>
      <c r="BN12" s="41"/>
      <c r="BP12" s="162" t="s">
        <v>104</v>
      </c>
      <c r="BQ12" s="162">
        <v>0</v>
      </c>
      <c r="BR12" s="162">
        <v>0</v>
      </c>
      <c r="BS12" s="41"/>
      <c r="BT12" s="41"/>
      <c r="BU12" s="41"/>
      <c r="BV12" s="41"/>
      <c r="BX12" s="162" t="s">
        <v>104</v>
      </c>
      <c r="BY12" s="162">
        <v>0</v>
      </c>
      <c r="BZ12" s="162">
        <v>0</v>
      </c>
      <c r="CA12" s="41"/>
      <c r="CB12" s="41"/>
      <c r="CC12" s="41"/>
      <c r="CD12" s="41"/>
      <c r="CF12" s="162" t="s">
        <v>104</v>
      </c>
      <c r="CG12" s="162">
        <v>0</v>
      </c>
      <c r="CH12" s="162">
        <v>0</v>
      </c>
      <c r="CI12" s="41"/>
      <c r="CJ12" s="41"/>
      <c r="CK12" s="41"/>
      <c r="CL12" s="41"/>
      <c r="CN12" s="162" t="s">
        <v>104</v>
      </c>
      <c r="CO12" s="162">
        <v>0</v>
      </c>
      <c r="CP12" s="162">
        <v>0</v>
      </c>
      <c r="CQ12" s="41"/>
      <c r="CR12" s="41"/>
      <c r="CS12" s="41"/>
      <c r="CT12" s="41"/>
      <c r="CV12" s="162" t="s">
        <v>104</v>
      </c>
      <c r="CW12" s="162">
        <v>0</v>
      </c>
      <c r="CX12" s="162">
        <v>0</v>
      </c>
      <c r="CY12" s="41"/>
      <c r="CZ12" s="41"/>
      <c r="DA12" s="41"/>
      <c r="DB12" s="41"/>
      <c r="DD12" s="162" t="s">
        <v>104</v>
      </c>
      <c r="DE12" s="162">
        <v>0</v>
      </c>
      <c r="DF12" s="162">
        <v>0</v>
      </c>
      <c r="DG12" s="41"/>
      <c r="DH12" s="41"/>
      <c r="DI12" s="41"/>
      <c r="DJ12" s="41"/>
      <c r="DL12" s="162" t="s">
        <v>104</v>
      </c>
      <c r="DM12" s="162">
        <v>0</v>
      </c>
      <c r="DN12" s="162">
        <v>0</v>
      </c>
      <c r="DO12" s="41"/>
      <c r="DP12" s="41"/>
      <c r="DQ12" s="41"/>
      <c r="DR12" s="41"/>
    </row>
    <row r="13" spans="5:122" ht="12.9" thickBot="1" x14ac:dyDescent="0.35">
      <c r="E13" s="3"/>
      <c r="F13" s="3" t="s">
        <v>101</v>
      </c>
      <c r="G13" s="3"/>
      <c r="H13" s="3"/>
      <c r="I13" s="3"/>
      <c r="J13" s="3"/>
      <c r="K13" s="3"/>
      <c r="L13" s="1"/>
      <c r="M13" s="1"/>
      <c r="N13" s="1"/>
      <c r="O13" s="1"/>
      <c r="P13" s="1"/>
      <c r="Q13" s="162" t="s">
        <v>105</v>
      </c>
      <c r="R13" s="162">
        <v>0</v>
      </c>
      <c r="S13" s="162">
        <v>0</v>
      </c>
      <c r="T13" s="41"/>
      <c r="U13" s="41"/>
      <c r="V13" s="41"/>
      <c r="W13" s="41"/>
      <c r="X13" s="66"/>
      <c r="Z13" s="162" t="s">
        <v>105</v>
      </c>
      <c r="AA13" s="162">
        <v>0</v>
      </c>
      <c r="AB13" s="162">
        <v>0</v>
      </c>
      <c r="AC13" s="41"/>
      <c r="AD13" s="41"/>
      <c r="AE13" s="41"/>
      <c r="AF13" s="41"/>
      <c r="AG13" s="66"/>
      <c r="AI13" s="162" t="s">
        <v>105</v>
      </c>
      <c r="AJ13" s="162">
        <v>0</v>
      </c>
      <c r="AK13" s="162">
        <v>0</v>
      </c>
      <c r="AL13" s="41"/>
      <c r="AM13" s="41"/>
      <c r="AN13" s="41"/>
      <c r="AO13" s="41"/>
      <c r="AP13" s="66"/>
      <c r="AR13" s="162" t="s">
        <v>105</v>
      </c>
      <c r="AS13" s="162">
        <v>0</v>
      </c>
      <c r="AT13" s="162">
        <v>0</v>
      </c>
      <c r="AU13" s="41"/>
      <c r="AV13" s="41"/>
      <c r="AW13" s="41"/>
      <c r="AX13" s="41"/>
      <c r="AZ13" s="162" t="s">
        <v>105</v>
      </c>
      <c r="BA13" s="162">
        <v>0</v>
      </c>
      <c r="BB13" s="162">
        <v>0</v>
      </c>
      <c r="BC13" s="41"/>
      <c r="BD13" s="41"/>
      <c r="BE13" s="41"/>
      <c r="BF13" s="41"/>
      <c r="BH13" s="162" t="s">
        <v>105</v>
      </c>
      <c r="BI13" s="162">
        <v>0</v>
      </c>
      <c r="BJ13" s="162">
        <v>0</v>
      </c>
      <c r="BK13" s="41"/>
      <c r="BL13" s="41"/>
      <c r="BM13" s="41"/>
      <c r="BN13" s="41"/>
      <c r="BP13" s="162" t="s">
        <v>105</v>
      </c>
      <c r="BQ13" s="162">
        <v>0</v>
      </c>
      <c r="BR13" s="162">
        <v>0</v>
      </c>
      <c r="BS13" s="41"/>
      <c r="BT13" s="41"/>
      <c r="BU13" s="41"/>
      <c r="BV13" s="41"/>
      <c r="BX13" s="162" t="s">
        <v>105</v>
      </c>
      <c r="BY13" s="162">
        <v>0</v>
      </c>
      <c r="BZ13" s="162">
        <v>0</v>
      </c>
      <c r="CA13" s="41"/>
      <c r="CB13" s="41"/>
      <c r="CC13" s="41"/>
      <c r="CD13" s="41"/>
      <c r="CF13" s="162" t="s">
        <v>105</v>
      </c>
      <c r="CG13" s="162">
        <v>0</v>
      </c>
      <c r="CH13" s="162">
        <v>0</v>
      </c>
      <c r="CI13" s="41"/>
      <c r="CJ13" s="41"/>
      <c r="CK13" s="41"/>
      <c r="CL13" s="41"/>
      <c r="CN13" s="162" t="s">
        <v>105</v>
      </c>
      <c r="CO13" s="162">
        <v>0</v>
      </c>
      <c r="CP13" s="162">
        <v>0</v>
      </c>
      <c r="CQ13" s="41"/>
      <c r="CR13" s="41"/>
      <c r="CS13" s="41"/>
      <c r="CT13" s="41"/>
      <c r="CV13" s="162" t="s">
        <v>105</v>
      </c>
      <c r="CW13" s="162">
        <v>0</v>
      </c>
      <c r="CX13" s="162">
        <v>0</v>
      </c>
      <c r="CY13" s="41"/>
      <c r="CZ13" s="41"/>
      <c r="DA13" s="41"/>
      <c r="DB13" s="41"/>
      <c r="DD13" s="162" t="s">
        <v>105</v>
      </c>
      <c r="DE13" s="162">
        <v>0</v>
      </c>
      <c r="DF13" s="162">
        <v>0</v>
      </c>
      <c r="DG13" s="41"/>
      <c r="DH13" s="41"/>
      <c r="DI13" s="41"/>
      <c r="DJ13" s="41"/>
      <c r="DL13" s="162" t="s">
        <v>105</v>
      </c>
      <c r="DM13" s="162">
        <v>0</v>
      </c>
      <c r="DN13" s="162">
        <v>0</v>
      </c>
      <c r="DO13" s="41"/>
      <c r="DP13" s="41"/>
      <c r="DQ13" s="41"/>
      <c r="DR13" s="41"/>
    </row>
    <row r="14" spans="5:122" ht="12.9" thickBot="1" x14ac:dyDescent="0.35">
      <c r="E14" s="3"/>
      <c r="F14" s="3" t="s">
        <v>101</v>
      </c>
      <c r="G14" s="3"/>
      <c r="H14" s="3"/>
      <c r="I14" s="3"/>
      <c r="J14" s="3"/>
      <c r="K14" s="3"/>
      <c r="L14" s="1"/>
      <c r="M14" s="1"/>
      <c r="N14" s="1"/>
      <c r="O14" s="1"/>
      <c r="P14" s="1"/>
      <c r="Q14" s="162" t="s">
        <v>73</v>
      </c>
      <c r="R14" s="162">
        <v>0</v>
      </c>
      <c r="S14" s="162">
        <v>0</v>
      </c>
      <c r="T14" s="41"/>
      <c r="U14" s="41"/>
      <c r="V14" s="41"/>
      <c r="W14" s="41"/>
      <c r="X14" s="66"/>
      <c r="Z14" s="162" t="s">
        <v>73</v>
      </c>
      <c r="AA14" s="162">
        <v>0</v>
      </c>
      <c r="AB14" s="162">
        <v>0</v>
      </c>
      <c r="AC14" s="41"/>
      <c r="AD14" s="41"/>
      <c r="AE14" s="41"/>
      <c r="AF14" s="41"/>
      <c r="AG14" s="66"/>
      <c r="AI14" s="162" t="s">
        <v>73</v>
      </c>
      <c r="AJ14" s="162">
        <v>0</v>
      </c>
      <c r="AK14" s="162">
        <v>0</v>
      </c>
      <c r="AL14" s="41"/>
      <c r="AM14" s="41"/>
      <c r="AN14" s="41"/>
      <c r="AO14" s="41"/>
      <c r="AP14" s="66"/>
      <c r="AR14" s="162" t="s">
        <v>73</v>
      </c>
      <c r="AS14" s="162">
        <v>0</v>
      </c>
      <c r="AT14" s="162">
        <v>0</v>
      </c>
      <c r="AU14" s="41"/>
      <c r="AV14" s="41"/>
      <c r="AW14" s="41"/>
      <c r="AX14" s="41"/>
      <c r="AZ14" s="162" t="s">
        <v>73</v>
      </c>
      <c r="BA14" s="162">
        <v>0</v>
      </c>
      <c r="BB14" s="162">
        <v>0</v>
      </c>
      <c r="BC14" s="41"/>
      <c r="BD14" s="41"/>
      <c r="BE14" s="41"/>
      <c r="BF14" s="41"/>
      <c r="BH14" s="162" t="s">
        <v>73</v>
      </c>
      <c r="BI14" s="162">
        <v>0</v>
      </c>
      <c r="BJ14" s="162">
        <v>0</v>
      </c>
      <c r="BK14" s="41"/>
      <c r="BL14" s="41"/>
      <c r="BM14" s="41"/>
      <c r="BN14" s="41"/>
      <c r="BP14" s="162" t="s">
        <v>73</v>
      </c>
      <c r="BQ14" s="162">
        <v>0</v>
      </c>
      <c r="BR14" s="162">
        <v>0</v>
      </c>
      <c r="BS14" s="41"/>
      <c r="BT14" s="41"/>
      <c r="BU14" s="41"/>
      <c r="BV14" s="41"/>
      <c r="BX14" s="162" t="s">
        <v>73</v>
      </c>
      <c r="BY14" s="162">
        <v>0</v>
      </c>
      <c r="BZ14" s="162">
        <v>0</v>
      </c>
      <c r="CA14" s="41"/>
      <c r="CB14" s="41"/>
      <c r="CC14" s="41"/>
      <c r="CD14" s="41"/>
      <c r="CF14" s="162" t="s">
        <v>73</v>
      </c>
      <c r="CG14" s="162">
        <v>0</v>
      </c>
      <c r="CH14" s="162">
        <v>0</v>
      </c>
      <c r="CI14" s="41"/>
      <c r="CJ14" s="41"/>
      <c r="CK14" s="41"/>
      <c r="CL14" s="41"/>
      <c r="CN14" s="162" t="s">
        <v>73</v>
      </c>
      <c r="CO14" s="162">
        <v>0</v>
      </c>
      <c r="CP14" s="162">
        <v>0</v>
      </c>
      <c r="CQ14" s="41"/>
      <c r="CR14" s="41"/>
      <c r="CS14" s="41"/>
      <c r="CT14" s="41"/>
      <c r="CV14" s="162" t="s">
        <v>73</v>
      </c>
      <c r="CW14" s="162">
        <v>0</v>
      </c>
      <c r="CX14" s="162">
        <v>0</v>
      </c>
      <c r="CY14" s="41"/>
      <c r="CZ14" s="41"/>
      <c r="DA14" s="41"/>
      <c r="DB14" s="41"/>
      <c r="DD14" s="162" t="s">
        <v>73</v>
      </c>
      <c r="DE14" s="162">
        <v>0</v>
      </c>
      <c r="DF14" s="162">
        <v>0</v>
      </c>
      <c r="DG14" s="41"/>
      <c r="DH14" s="41"/>
      <c r="DI14" s="41"/>
      <c r="DJ14" s="41"/>
      <c r="DL14" s="162" t="s">
        <v>73</v>
      </c>
      <c r="DM14" s="162">
        <v>0</v>
      </c>
      <c r="DN14" s="162">
        <v>0</v>
      </c>
      <c r="DO14" s="41"/>
      <c r="DP14" s="41"/>
      <c r="DQ14" s="41"/>
      <c r="DR14" s="41"/>
    </row>
    <row r="15" spans="5:122" ht="12.9" thickBot="1" x14ac:dyDescent="0.35">
      <c r="E15" s="3"/>
      <c r="F15" s="3"/>
      <c r="G15" s="3"/>
      <c r="H15" s="3"/>
      <c r="I15" s="3"/>
      <c r="J15" s="3"/>
      <c r="K15" s="3" t="s">
        <v>101</v>
      </c>
      <c r="L15" s="1"/>
      <c r="M15" s="1"/>
      <c r="N15" s="1"/>
      <c r="O15" s="1"/>
      <c r="P15" s="1"/>
      <c r="Q15" s="162" t="s">
        <v>107</v>
      </c>
      <c r="R15" s="162">
        <v>0</v>
      </c>
      <c r="S15" s="162">
        <v>7924.28</v>
      </c>
      <c r="T15" s="41"/>
      <c r="U15" s="41"/>
      <c r="V15" s="41"/>
      <c r="W15" s="41"/>
      <c r="X15" s="66"/>
      <c r="Z15" s="162" t="s">
        <v>107</v>
      </c>
      <c r="AA15" s="162">
        <v>0</v>
      </c>
      <c r="AB15" s="162">
        <v>6603.2</v>
      </c>
      <c r="AC15" s="41"/>
      <c r="AD15" s="41"/>
      <c r="AE15" s="41"/>
      <c r="AF15" s="41"/>
      <c r="AG15" s="66"/>
      <c r="AI15" s="162" t="s">
        <v>107</v>
      </c>
      <c r="AJ15" s="162">
        <v>0</v>
      </c>
      <c r="AK15" s="162">
        <v>5810.48</v>
      </c>
      <c r="AL15" s="41"/>
      <c r="AM15" s="41"/>
      <c r="AN15" s="41"/>
      <c r="AO15" s="41"/>
      <c r="AP15" s="66"/>
      <c r="AR15" s="162" t="s">
        <v>107</v>
      </c>
      <c r="AS15" s="162">
        <v>0</v>
      </c>
      <c r="AT15" s="162">
        <v>20572.16</v>
      </c>
      <c r="AU15" s="41"/>
      <c r="AV15" s="41"/>
      <c r="AW15" s="41"/>
      <c r="AX15" s="41"/>
      <c r="AZ15" s="162" t="s">
        <v>107</v>
      </c>
      <c r="BA15" s="162">
        <v>0</v>
      </c>
      <c r="BB15" s="162">
        <v>7923.5</v>
      </c>
      <c r="BC15" s="41"/>
      <c r="BD15" s="41"/>
      <c r="BE15" s="41"/>
      <c r="BF15" s="41"/>
      <c r="BH15" s="162" t="s">
        <v>107</v>
      </c>
      <c r="BI15" s="162">
        <v>0</v>
      </c>
      <c r="BJ15" s="162">
        <v>6602.92</v>
      </c>
      <c r="BK15" s="41"/>
      <c r="BL15" s="41"/>
      <c r="BM15" s="41"/>
      <c r="BN15" s="189"/>
      <c r="BP15" s="162" t="s">
        <v>107</v>
      </c>
      <c r="BQ15" s="162">
        <v>0</v>
      </c>
      <c r="BR15" s="162">
        <v>5810.48</v>
      </c>
      <c r="BS15" s="41"/>
      <c r="BT15" s="41"/>
      <c r="BU15" s="41"/>
      <c r="BV15" s="41"/>
      <c r="BX15" s="162" t="s">
        <v>107</v>
      </c>
      <c r="BY15" s="162">
        <v>0</v>
      </c>
      <c r="BZ15" s="162">
        <v>7926.76</v>
      </c>
      <c r="CA15" s="41"/>
      <c r="CB15" s="41"/>
      <c r="CC15" s="41"/>
      <c r="CD15" s="41"/>
      <c r="CF15" s="162" t="s">
        <v>107</v>
      </c>
      <c r="CG15" s="162">
        <v>0</v>
      </c>
      <c r="CH15" s="162">
        <v>6603.43</v>
      </c>
      <c r="CI15" s="41"/>
      <c r="CJ15" s="41"/>
      <c r="CK15" s="41"/>
      <c r="CL15" s="41"/>
      <c r="CN15" s="162" t="s">
        <v>107</v>
      </c>
      <c r="CO15" s="162">
        <v>0</v>
      </c>
      <c r="CP15" s="162">
        <v>5810.9</v>
      </c>
      <c r="CQ15" s="41"/>
      <c r="CR15" s="41"/>
      <c r="CS15" s="41"/>
      <c r="CT15" s="41"/>
      <c r="CV15" s="162" t="s">
        <v>107</v>
      </c>
      <c r="CW15" s="162">
        <v>0</v>
      </c>
      <c r="CX15" s="162">
        <v>7934.25</v>
      </c>
      <c r="CY15" s="41"/>
      <c r="CZ15" s="41"/>
      <c r="DA15" s="41"/>
      <c r="DB15" s="41"/>
      <c r="DD15" s="162" t="s">
        <v>107</v>
      </c>
      <c r="DE15" s="162">
        <v>0</v>
      </c>
      <c r="DF15" s="162">
        <v>6603.48</v>
      </c>
      <c r="DG15" s="41"/>
      <c r="DH15" s="41"/>
      <c r="DI15" s="41"/>
      <c r="DJ15" s="41"/>
      <c r="DL15" s="162" t="s">
        <v>107</v>
      </c>
      <c r="DM15" s="162">
        <v>0</v>
      </c>
      <c r="DN15" s="162">
        <v>5810.9</v>
      </c>
      <c r="DO15" s="41"/>
      <c r="DP15" s="41"/>
      <c r="DQ15" s="41"/>
      <c r="DR15" s="41"/>
    </row>
    <row r="16" spans="5:122" ht="12.9" thickBot="1" x14ac:dyDescent="0.35">
      <c r="E16" s="3"/>
      <c r="F16" s="3"/>
      <c r="G16" s="3" t="s">
        <v>101</v>
      </c>
      <c r="H16" s="3"/>
      <c r="I16" s="3"/>
      <c r="J16" s="3"/>
      <c r="K16" s="3"/>
      <c r="L16" s="1"/>
      <c r="M16" s="1"/>
      <c r="N16" s="1"/>
      <c r="O16" s="1"/>
      <c r="P16" s="1"/>
      <c r="Q16" s="162" t="s">
        <v>112</v>
      </c>
      <c r="R16" s="162">
        <v>0</v>
      </c>
      <c r="S16" s="162">
        <v>0</v>
      </c>
      <c r="T16" s="41"/>
      <c r="U16" s="41"/>
      <c r="V16" s="41"/>
      <c r="W16" s="41"/>
      <c r="X16" s="66"/>
      <c r="Z16" s="162" t="s">
        <v>112</v>
      </c>
      <c r="AA16" s="162">
        <v>0</v>
      </c>
      <c r="AB16" s="162">
        <v>0</v>
      </c>
      <c r="AC16" s="41"/>
      <c r="AD16" s="41"/>
      <c r="AE16" s="41"/>
      <c r="AF16" s="41"/>
      <c r="AG16" s="66"/>
      <c r="AI16" s="162" t="s">
        <v>112</v>
      </c>
      <c r="AJ16" s="162">
        <v>0</v>
      </c>
      <c r="AK16" s="162">
        <v>0</v>
      </c>
      <c r="AL16" s="41"/>
      <c r="AM16" s="41"/>
      <c r="AN16" s="41"/>
      <c r="AO16" s="41"/>
      <c r="AP16" s="66"/>
      <c r="AR16" s="162" t="s">
        <v>112</v>
      </c>
      <c r="AS16" s="162">
        <v>0</v>
      </c>
      <c r="AT16" s="162">
        <v>0</v>
      </c>
      <c r="AU16" s="41"/>
      <c r="AV16" s="41"/>
      <c r="AW16" s="41"/>
      <c r="AX16" s="41"/>
      <c r="AZ16" s="162" t="s">
        <v>112</v>
      </c>
      <c r="BA16" s="162">
        <v>0</v>
      </c>
      <c r="BB16" s="162">
        <v>0</v>
      </c>
      <c r="BC16" s="41"/>
      <c r="BD16" s="41"/>
      <c r="BE16" s="41"/>
      <c r="BF16" s="41"/>
      <c r="BH16" s="162" t="s">
        <v>112</v>
      </c>
      <c r="BI16" s="162">
        <v>0</v>
      </c>
      <c r="BJ16" s="162">
        <v>0</v>
      </c>
      <c r="BK16" s="41"/>
      <c r="BL16" s="41"/>
      <c r="BM16" s="41"/>
      <c r="BN16" s="41"/>
      <c r="BP16" s="162" t="s">
        <v>112</v>
      </c>
      <c r="BQ16" s="162">
        <v>0</v>
      </c>
      <c r="BR16" s="162">
        <v>0</v>
      </c>
      <c r="BS16" s="41"/>
      <c r="BT16" s="41"/>
      <c r="BU16" s="41"/>
      <c r="BV16" s="41"/>
      <c r="BX16" s="162" t="s">
        <v>112</v>
      </c>
      <c r="BY16" s="162">
        <v>0</v>
      </c>
      <c r="BZ16" s="162">
        <v>0</v>
      </c>
      <c r="CA16" s="41"/>
      <c r="CB16" s="41"/>
      <c r="CC16" s="41"/>
      <c r="CD16" s="41"/>
      <c r="CF16" s="162" t="s">
        <v>112</v>
      </c>
      <c r="CG16" s="162">
        <v>0</v>
      </c>
      <c r="CH16" s="162">
        <v>0</v>
      </c>
      <c r="CI16" s="41"/>
      <c r="CJ16" s="41"/>
      <c r="CK16" s="41"/>
      <c r="CL16" s="41"/>
      <c r="CN16" s="162" t="s">
        <v>112</v>
      </c>
      <c r="CO16" s="162">
        <v>0</v>
      </c>
      <c r="CP16" s="162">
        <v>0</v>
      </c>
      <c r="CQ16" s="41"/>
      <c r="CR16" s="41"/>
      <c r="CS16" s="41"/>
      <c r="CT16" s="41"/>
      <c r="CV16" s="162" t="s">
        <v>112</v>
      </c>
      <c r="CW16" s="162">
        <v>0</v>
      </c>
      <c r="CX16" s="162">
        <v>0</v>
      </c>
      <c r="CY16" s="41"/>
      <c r="CZ16" s="41"/>
      <c r="DA16" s="41"/>
      <c r="DB16" s="41"/>
      <c r="DD16" s="162" t="s">
        <v>112</v>
      </c>
      <c r="DE16" s="162">
        <v>0</v>
      </c>
      <c r="DF16" s="162">
        <v>0</v>
      </c>
      <c r="DG16" s="41"/>
      <c r="DH16" s="41"/>
      <c r="DI16" s="41"/>
      <c r="DJ16" s="41"/>
      <c r="DL16" s="162" t="s">
        <v>112</v>
      </c>
      <c r="DM16" s="162">
        <v>0</v>
      </c>
      <c r="DN16" s="162">
        <v>0</v>
      </c>
      <c r="DO16" s="41"/>
      <c r="DP16" s="41"/>
      <c r="DQ16" s="41"/>
      <c r="DR16" s="41"/>
    </row>
    <row r="17" spans="2:122" ht="12.9" thickBot="1" x14ac:dyDescent="0.35">
      <c r="E17" s="3"/>
      <c r="F17" s="3"/>
      <c r="G17" s="3"/>
      <c r="H17" s="3"/>
      <c r="I17" s="3"/>
      <c r="J17" s="3"/>
      <c r="K17" s="3"/>
      <c r="L17" s="1"/>
      <c r="M17" s="1"/>
      <c r="N17" s="1"/>
      <c r="O17" s="1"/>
      <c r="P17" s="1"/>
      <c r="Q17" s="162" t="s">
        <v>114</v>
      </c>
      <c r="R17" s="162">
        <v>0</v>
      </c>
      <c r="S17" s="162">
        <v>0</v>
      </c>
      <c r="T17" s="41"/>
      <c r="U17" s="41"/>
      <c r="V17" s="41"/>
      <c r="W17" s="41"/>
      <c r="X17" s="66"/>
      <c r="Z17" s="162" t="s">
        <v>114</v>
      </c>
      <c r="AA17" s="162">
        <v>0</v>
      </c>
      <c r="AB17" s="162">
        <v>0</v>
      </c>
      <c r="AC17" s="41"/>
      <c r="AD17" s="41"/>
      <c r="AE17" s="41"/>
      <c r="AF17" s="41"/>
      <c r="AG17" s="66"/>
      <c r="AI17" s="162" t="s">
        <v>114</v>
      </c>
      <c r="AJ17" s="162">
        <v>0</v>
      </c>
      <c r="AK17" s="162">
        <v>0</v>
      </c>
      <c r="AL17" s="41"/>
      <c r="AM17" s="41"/>
      <c r="AN17" s="41"/>
      <c r="AO17" s="41"/>
      <c r="AP17" s="66"/>
      <c r="AR17" s="162" t="s">
        <v>114</v>
      </c>
      <c r="AS17" s="162">
        <v>0</v>
      </c>
      <c r="AT17" s="162">
        <v>0</v>
      </c>
      <c r="AU17" s="41"/>
      <c r="AV17" s="41"/>
      <c r="AW17" s="41"/>
      <c r="AX17" s="41"/>
      <c r="AZ17" s="162" t="s">
        <v>114</v>
      </c>
      <c r="BA17" s="162">
        <v>0</v>
      </c>
      <c r="BB17" s="162">
        <v>0</v>
      </c>
      <c r="BC17" s="41"/>
      <c r="BD17" s="41"/>
      <c r="BE17" s="41"/>
      <c r="BF17" s="41"/>
      <c r="BH17" s="162" t="s">
        <v>114</v>
      </c>
      <c r="BI17" s="162">
        <v>0</v>
      </c>
      <c r="BJ17" s="162">
        <v>0</v>
      </c>
      <c r="BK17" s="41"/>
      <c r="BL17" s="41"/>
      <c r="BM17" s="41"/>
      <c r="BN17" s="41"/>
      <c r="BP17" s="162" t="s">
        <v>114</v>
      </c>
      <c r="BQ17" s="162">
        <v>0</v>
      </c>
      <c r="BR17" s="162">
        <v>0</v>
      </c>
      <c r="BS17" s="41"/>
      <c r="BT17" s="41"/>
      <c r="BU17" s="41"/>
      <c r="BV17" s="41"/>
      <c r="BX17" s="162" t="s">
        <v>114</v>
      </c>
      <c r="BY17" s="162">
        <v>0</v>
      </c>
      <c r="BZ17" s="162">
        <v>0</v>
      </c>
      <c r="CA17" s="41"/>
      <c r="CB17" s="41"/>
      <c r="CC17" s="41"/>
      <c r="CD17" s="41"/>
      <c r="CF17" s="162" t="s">
        <v>114</v>
      </c>
      <c r="CG17" s="162">
        <v>0</v>
      </c>
      <c r="CH17" s="162">
        <v>0</v>
      </c>
      <c r="CI17" s="41"/>
      <c r="CJ17" s="41"/>
      <c r="CK17" s="41"/>
      <c r="CL17" s="41"/>
      <c r="CN17" s="162" t="s">
        <v>114</v>
      </c>
      <c r="CO17" s="162">
        <v>0</v>
      </c>
      <c r="CP17" s="162">
        <v>0</v>
      </c>
      <c r="CQ17" s="41"/>
      <c r="CR17" s="41"/>
      <c r="CS17" s="41"/>
      <c r="CT17" s="41"/>
      <c r="CV17" s="162" t="s">
        <v>114</v>
      </c>
      <c r="CW17" s="162">
        <v>0</v>
      </c>
      <c r="CX17" s="162">
        <v>0</v>
      </c>
      <c r="CY17" s="41"/>
      <c r="CZ17" s="41"/>
      <c r="DA17" s="41"/>
      <c r="DB17" s="41"/>
      <c r="DD17" s="162" t="s">
        <v>114</v>
      </c>
      <c r="DE17" s="162">
        <v>0</v>
      </c>
      <c r="DF17" s="162">
        <v>0</v>
      </c>
      <c r="DG17" s="41"/>
      <c r="DH17" s="41"/>
      <c r="DI17" s="41"/>
      <c r="DJ17" s="41"/>
      <c r="DL17" s="162" t="s">
        <v>114</v>
      </c>
      <c r="DM17" s="162">
        <v>0</v>
      </c>
      <c r="DN17" s="162">
        <v>0</v>
      </c>
      <c r="DO17" s="41"/>
      <c r="DP17" s="41"/>
      <c r="DQ17" s="41"/>
      <c r="DR17" s="41"/>
    </row>
    <row r="18" spans="2:122" ht="12.9" thickBot="1" x14ac:dyDescent="0.35">
      <c r="Q18" s="162"/>
      <c r="R18" s="162"/>
      <c r="S18" s="162"/>
      <c r="T18" s="41"/>
      <c r="U18" s="41"/>
      <c r="V18" s="41"/>
      <c r="W18" s="41"/>
      <c r="X18" s="66"/>
      <c r="Z18" s="162"/>
      <c r="AA18" s="162"/>
      <c r="AB18" s="162"/>
      <c r="AC18" s="41"/>
      <c r="AD18" s="41"/>
      <c r="AE18" s="41"/>
      <c r="AF18" s="41"/>
      <c r="AG18" s="66"/>
      <c r="AI18" s="162"/>
      <c r="AJ18" s="162"/>
      <c r="AK18" s="162"/>
      <c r="AL18" s="41"/>
      <c r="AM18" s="41"/>
      <c r="AN18" s="41"/>
      <c r="AO18" s="41"/>
      <c r="AP18" s="66"/>
      <c r="AR18" s="162"/>
      <c r="AS18" s="162"/>
      <c r="AT18" s="162"/>
      <c r="AU18" s="41"/>
      <c r="AV18" s="41"/>
      <c r="AW18" s="41"/>
      <c r="AX18" s="41"/>
      <c r="AZ18" s="162"/>
      <c r="BA18" s="162"/>
      <c r="BB18" s="162"/>
      <c r="BC18" s="41"/>
      <c r="BD18" s="41"/>
      <c r="BE18" s="41"/>
      <c r="BF18" s="41"/>
      <c r="BH18" s="162"/>
      <c r="BI18" s="162"/>
      <c r="BJ18" s="162"/>
      <c r="BK18" s="41"/>
      <c r="BL18" s="41"/>
      <c r="BM18" s="41"/>
      <c r="BN18" s="41"/>
      <c r="BP18" s="162"/>
      <c r="BQ18" s="162"/>
      <c r="BR18" s="162"/>
      <c r="BS18" s="41"/>
      <c r="BT18" s="41"/>
      <c r="BU18" s="41"/>
      <c r="BV18" s="41"/>
      <c r="BX18" s="162"/>
      <c r="BY18" s="162"/>
      <c r="BZ18" s="162"/>
      <c r="CA18" s="41"/>
      <c r="CB18" s="41"/>
      <c r="CC18" s="41"/>
      <c r="CD18" s="41"/>
      <c r="CF18" s="162"/>
      <c r="CG18" s="162"/>
      <c r="CH18" s="162"/>
      <c r="CI18" s="41"/>
      <c r="CJ18" s="41"/>
      <c r="CK18" s="41"/>
      <c r="CL18" s="41"/>
      <c r="CN18" s="162"/>
      <c r="CO18" s="162"/>
      <c r="CP18" s="162"/>
      <c r="CQ18" s="41"/>
      <c r="CR18" s="41"/>
      <c r="CS18" s="41"/>
      <c r="CT18" s="41"/>
      <c r="CV18" s="162"/>
      <c r="CW18" s="162"/>
      <c r="CX18" s="162"/>
      <c r="CY18" s="41"/>
      <c r="CZ18" s="41"/>
      <c r="DA18" s="41"/>
      <c r="DB18" s="41"/>
      <c r="DD18" s="162"/>
      <c r="DE18" s="162"/>
      <c r="DF18" s="162"/>
      <c r="DG18" s="41"/>
      <c r="DH18" s="41"/>
      <c r="DI18" s="41"/>
      <c r="DJ18" s="41"/>
      <c r="DL18" s="162"/>
      <c r="DM18" s="162"/>
      <c r="DN18" s="162"/>
      <c r="DO18" s="41"/>
      <c r="DP18" s="41"/>
      <c r="DQ18" s="41"/>
      <c r="DR18" s="41"/>
    </row>
    <row r="19" spans="2:122" ht="12.9" thickBot="1" x14ac:dyDescent="0.35">
      <c r="Q19" s="162" t="s">
        <v>293</v>
      </c>
      <c r="R19" s="162">
        <v>25252.74</v>
      </c>
      <c r="S19" s="162">
        <v>83752.679999999993</v>
      </c>
      <c r="T19" s="41"/>
      <c r="U19" s="41"/>
      <c r="V19" s="41"/>
      <c r="W19" s="41"/>
      <c r="X19" s="66"/>
      <c r="Z19" s="162" t="s">
        <v>293</v>
      </c>
      <c r="AA19" s="162">
        <v>19616.53</v>
      </c>
      <c r="AB19" s="162">
        <v>66357.09</v>
      </c>
      <c r="AC19" s="41"/>
      <c r="AD19" s="41"/>
      <c r="AE19" s="41"/>
      <c r="AF19" s="41"/>
      <c r="AG19" s="66"/>
      <c r="AI19" s="162" t="s">
        <v>293</v>
      </c>
      <c r="AJ19" s="162">
        <v>15820.72</v>
      </c>
      <c r="AK19" s="162">
        <v>52174.67</v>
      </c>
      <c r="AL19" s="41"/>
      <c r="AM19" s="41"/>
      <c r="AN19" s="41"/>
      <c r="AO19" s="41"/>
      <c r="AP19" s="66"/>
      <c r="AR19" s="162" t="s">
        <v>293</v>
      </c>
      <c r="AS19" s="162">
        <v>41586.550000000003</v>
      </c>
      <c r="AT19" s="162">
        <v>173098.25</v>
      </c>
      <c r="AU19" s="41"/>
      <c r="AV19" s="41"/>
      <c r="AW19" s="41"/>
      <c r="AX19" s="41"/>
      <c r="AZ19" s="162" t="s">
        <v>293</v>
      </c>
      <c r="BA19" s="162">
        <v>23097.42</v>
      </c>
      <c r="BB19" s="162">
        <v>68249.3</v>
      </c>
      <c r="BC19" s="41"/>
      <c r="BD19" s="41"/>
      <c r="BE19" s="41"/>
      <c r="BF19" s="41"/>
      <c r="BH19" s="162" t="s">
        <v>293</v>
      </c>
      <c r="BI19" s="162">
        <v>18835.740000000002</v>
      </c>
      <c r="BJ19" s="162">
        <v>59620.78</v>
      </c>
      <c r="BK19" s="41"/>
      <c r="BL19" s="41"/>
      <c r="BM19" s="41"/>
      <c r="BN19" s="41"/>
      <c r="BP19" s="162" t="s">
        <v>293</v>
      </c>
      <c r="BQ19" s="162">
        <v>15820.72</v>
      </c>
      <c r="BR19" s="162">
        <v>52174.67</v>
      </c>
      <c r="BS19" s="41"/>
      <c r="BT19" s="41"/>
      <c r="BU19" s="41"/>
      <c r="BV19" s="41"/>
      <c r="BX19" s="162" t="s">
        <v>293</v>
      </c>
      <c r="BY19" s="162">
        <v>31720.959999999999</v>
      </c>
      <c r="BZ19" s="162">
        <v>9951.64</v>
      </c>
      <c r="CA19" s="41"/>
      <c r="CB19" s="41"/>
      <c r="CC19" s="41"/>
      <c r="CD19" s="41"/>
      <c r="CF19" s="162" t="s">
        <v>293</v>
      </c>
      <c r="CG19" s="162">
        <v>25034.18</v>
      </c>
      <c r="CH19" s="162">
        <v>8628.31</v>
      </c>
      <c r="CI19" s="41"/>
      <c r="CJ19" s="41"/>
      <c r="CK19" s="41"/>
      <c r="CL19" s="41"/>
      <c r="CN19" s="162" t="s">
        <v>293</v>
      </c>
      <c r="CO19" s="162">
        <v>19734.48</v>
      </c>
      <c r="CP19" s="162">
        <v>7835.78</v>
      </c>
      <c r="CQ19" s="41"/>
      <c r="CR19" s="41"/>
      <c r="CS19" s="41"/>
      <c r="CT19" s="41"/>
      <c r="CV19" s="162" t="s">
        <v>293</v>
      </c>
      <c r="CW19" s="162">
        <v>27702.07</v>
      </c>
      <c r="CX19" s="162">
        <v>9959.1299999999992</v>
      </c>
      <c r="CY19" s="41"/>
      <c r="CZ19" s="41"/>
      <c r="DA19" s="41"/>
      <c r="DB19" s="41"/>
      <c r="DD19" s="162" t="s">
        <v>293</v>
      </c>
      <c r="DE19" s="162">
        <v>23145.52</v>
      </c>
      <c r="DF19" s="162">
        <v>8628.3700000000008</v>
      </c>
      <c r="DG19" s="41"/>
      <c r="DH19" s="41"/>
      <c r="DI19" s="41"/>
      <c r="DJ19" s="41"/>
      <c r="DL19" s="162" t="s">
        <v>293</v>
      </c>
      <c r="DM19" s="162">
        <v>19734.48</v>
      </c>
      <c r="DN19" s="162">
        <v>7835.78</v>
      </c>
      <c r="DO19" s="41"/>
      <c r="DP19" s="41"/>
      <c r="DQ19" s="41"/>
      <c r="DR19" s="41"/>
    </row>
    <row r="20" spans="2:122" x14ac:dyDescent="0.3">
      <c r="Q20" s="65"/>
      <c r="R20" s="66"/>
      <c r="S20" s="66"/>
      <c r="T20" s="66"/>
      <c r="U20" s="66"/>
      <c r="V20" s="66"/>
      <c r="W20" s="66"/>
      <c r="X20" s="66"/>
      <c r="Z20" s="65"/>
      <c r="AA20" s="66"/>
      <c r="AB20" s="66"/>
      <c r="AC20" s="66"/>
      <c r="AD20" s="66"/>
      <c r="AE20" s="66"/>
      <c r="AF20" s="66"/>
      <c r="AG20" s="66"/>
      <c r="AI20" s="65"/>
      <c r="AJ20" s="66"/>
      <c r="AK20" s="66"/>
      <c r="AL20" s="66"/>
      <c r="AM20" s="66"/>
      <c r="AN20" s="66"/>
      <c r="AO20" s="66"/>
      <c r="AP20" s="66"/>
      <c r="AR20" s="65"/>
      <c r="AS20" s="66"/>
      <c r="AT20" s="66"/>
      <c r="AU20" s="66"/>
      <c r="AV20" s="66"/>
      <c r="AW20" s="66"/>
      <c r="AX20" s="66"/>
      <c r="AZ20" s="65"/>
      <c r="BA20" s="66"/>
      <c r="BB20" s="66"/>
      <c r="BC20" s="66"/>
      <c r="BD20" s="66"/>
      <c r="BE20" s="66"/>
      <c r="BF20" s="66"/>
      <c r="BH20" s="65"/>
      <c r="BI20" s="66"/>
      <c r="BJ20" s="66"/>
      <c r="BK20" s="66"/>
      <c r="BL20" s="66"/>
      <c r="BM20" s="66"/>
      <c r="BN20" s="66"/>
      <c r="BP20" s="65"/>
      <c r="BQ20" s="66"/>
      <c r="BR20" s="66"/>
      <c r="BS20" s="66"/>
      <c r="BT20" s="66"/>
      <c r="BU20" s="66"/>
      <c r="BV20" s="66"/>
      <c r="BX20" s="65"/>
      <c r="BY20" s="66"/>
      <c r="BZ20" s="66"/>
      <c r="CA20" s="66"/>
      <c r="CB20" s="66"/>
      <c r="CC20" s="66"/>
      <c r="CD20" s="66"/>
      <c r="CF20" s="65"/>
      <c r="CG20" s="66"/>
      <c r="CH20" s="66"/>
      <c r="CI20" s="66"/>
      <c r="CJ20" s="66"/>
      <c r="CK20" s="66"/>
      <c r="CL20" s="66"/>
      <c r="CN20" s="65"/>
      <c r="CO20" s="66"/>
      <c r="CP20" s="66"/>
      <c r="CQ20" s="66"/>
      <c r="CR20" s="66"/>
      <c r="CS20" s="66"/>
      <c r="CT20" s="66"/>
      <c r="CV20" s="65"/>
      <c r="CW20" s="66"/>
      <c r="CX20" s="66"/>
      <c r="CY20" s="66"/>
      <c r="CZ20" s="66"/>
      <c r="DA20" s="66"/>
      <c r="DB20" s="66"/>
      <c r="DD20" s="65"/>
      <c r="DE20" s="66"/>
      <c r="DF20" s="66"/>
      <c r="DG20" s="66"/>
      <c r="DH20" s="66"/>
      <c r="DI20" s="66"/>
      <c r="DJ20" s="66"/>
      <c r="DL20" s="65"/>
      <c r="DM20" s="66"/>
      <c r="DN20" s="66"/>
      <c r="DO20" s="66"/>
      <c r="DP20" s="66"/>
      <c r="DQ20" s="66"/>
      <c r="DR20" s="66"/>
    </row>
    <row r="21" spans="2:122" x14ac:dyDescent="0.3">
      <c r="B21" s="14"/>
      <c r="C21" s="14"/>
      <c r="D21" s="14"/>
      <c r="E21" s="14"/>
      <c r="F21" s="14"/>
      <c r="G21" s="14"/>
      <c r="H21" s="14"/>
      <c r="I21" s="14"/>
      <c r="J21" s="14"/>
      <c r="K21" s="14"/>
      <c r="L21" s="14"/>
      <c r="M21" s="14"/>
      <c r="N21" s="14"/>
      <c r="O21" s="14"/>
      <c r="P21" s="14"/>
      <c r="Q21" s="67"/>
      <c r="R21" s="68"/>
      <c r="S21" s="68"/>
      <c r="T21" s="68"/>
      <c r="U21" s="68"/>
      <c r="V21" s="68"/>
      <c r="W21" s="68"/>
      <c r="X21" s="68"/>
      <c r="Y21" s="14"/>
      <c r="Z21" s="67"/>
      <c r="AA21" s="68"/>
      <c r="AB21" s="68"/>
      <c r="AC21" s="68"/>
      <c r="AD21" s="68"/>
      <c r="AE21" s="68"/>
      <c r="AF21" s="68"/>
      <c r="AG21" s="68"/>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N21" s="14"/>
      <c r="CO21" s="14"/>
      <c r="CP21" s="14"/>
      <c r="CQ21" s="14"/>
      <c r="CR21" s="14"/>
      <c r="CS21" s="14"/>
      <c r="CT21" s="14"/>
      <c r="CV21" s="14"/>
      <c r="CW21" s="14"/>
      <c r="CX21" s="14"/>
      <c r="CY21" s="14"/>
      <c r="CZ21" s="14"/>
      <c r="DA21" s="14"/>
      <c r="DB21" s="14"/>
      <c r="DD21" s="14"/>
      <c r="DE21" s="14"/>
      <c r="DF21" s="14"/>
      <c r="DG21" s="14"/>
      <c r="DH21" s="14"/>
      <c r="DI21" s="14"/>
      <c r="DJ21" s="14"/>
      <c r="DL21" s="14"/>
      <c r="DM21" s="14"/>
      <c r="DN21" s="14"/>
      <c r="DO21" s="14"/>
      <c r="DP21" s="14"/>
      <c r="DQ21" s="14"/>
      <c r="DR21" s="14"/>
    </row>
    <row r="22" spans="2:122" ht="12.9" thickBot="1" x14ac:dyDescent="0.35">
      <c r="B22" s="83" t="s">
        <v>15</v>
      </c>
      <c r="C22" s="1">
        <v>0</v>
      </c>
      <c r="D22" s="1">
        <v>1</v>
      </c>
      <c r="E22" s="1">
        <v>2</v>
      </c>
      <c r="F22" s="1">
        <v>3</v>
      </c>
      <c r="G22" s="1">
        <v>4</v>
      </c>
      <c r="H22" s="1">
        <v>5</v>
      </c>
      <c r="I22" s="1">
        <v>6</v>
      </c>
      <c r="J22" s="1">
        <v>7</v>
      </c>
      <c r="K22" s="1">
        <v>8</v>
      </c>
      <c r="L22" s="1">
        <v>9</v>
      </c>
      <c r="M22" s="1">
        <v>10</v>
      </c>
      <c r="N22" s="1">
        <v>11</v>
      </c>
      <c r="O22" s="1">
        <v>12</v>
      </c>
    </row>
    <row r="23" spans="2:122" s="22" customFormat="1" ht="37.299999999999997" x14ac:dyDescent="0.3">
      <c r="C23" s="199" t="str">
        <f>'Homes - Inputs'!L2</f>
        <v>Worst - Existing</v>
      </c>
      <c r="D23" s="200" t="str">
        <f>'Homes - Inputs'!M2</f>
        <v>Mid - Existing</v>
      </c>
      <c r="E23" s="201" t="str">
        <f>'Homes - Inputs'!N2</f>
        <v>Best - Existing</v>
      </c>
      <c r="F23" s="206" t="str">
        <f>'Homes - Inputs'!O2</f>
        <v>DOE Benchmark - Homes</v>
      </c>
      <c r="G23" s="199" t="str">
        <f>'Homes - Inputs'!P2</f>
        <v>Worst - Wx</v>
      </c>
      <c r="H23" s="200" t="str">
        <f>'Homes - Inputs'!Q2</f>
        <v>Mid - Wx</v>
      </c>
      <c r="I23" s="647" t="str">
        <f>'Homes - Inputs'!R2</f>
        <v>Best - Wx</v>
      </c>
      <c r="J23" s="199" t="str">
        <f>'Homes - Inputs'!S2</f>
        <v>Worst - Geo</v>
      </c>
      <c r="K23" s="200" t="str">
        <f>'Homes - Inputs'!T2</f>
        <v>Mid - Geo</v>
      </c>
      <c r="L23" s="201" t="str">
        <f>'Homes - Inputs'!U2</f>
        <v xml:space="preserve">Best - Geo </v>
      </c>
      <c r="M23" s="199" t="str">
        <f>'Homes - Inputs'!V2</f>
        <v>Worst - Geo + Wx</v>
      </c>
      <c r="N23" s="200" t="str">
        <f>'Homes - Inputs'!W2</f>
        <v>Mid - Geo + Wx</v>
      </c>
      <c r="O23" s="201" t="str">
        <f>'Homes - Inputs'!X2</f>
        <v>Best - Geo + Wx</v>
      </c>
      <c r="R23" s="21" t="s">
        <v>76</v>
      </c>
      <c r="S23" s="21" t="s">
        <v>79</v>
      </c>
      <c r="T23" s="21" t="s">
        <v>83</v>
      </c>
      <c r="U23" s="21" t="s">
        <v>82</v>
      </c>
      <c r="V23" s="21" t="s">
        <v>81</v>
      </c>
      <c r="W23" s="82" t="s">
        <v>2</v>
      </c>
      <c r="X23" s="176" t="s">
        <v>294</v>
      </c>
      <c r="Y23" s="176" t="s">
        <v>295</v>
      </c>
      <c r="AA23" s="21" t="s">
        <v>76</v>
      </c>
      <c r="AB23" s="21" t="s">
        <v>79</v>
      </c>
      <c r="AC23" s="21" t="s">
        <v>83</v>
      </c>
      <c r="AD23" s="21" t="s">
        <v>82</v>
      </c>
      <c r="AE23" s="21" t="s">
        <v>81</v>
      </c>
      <c r="AF23" s="82" t="s">
        <v>2</v>
      </c>
      <c r="AG23" s="176" t="s">
        <v>294</v>
      </c>
      <c r="AH23" s="176" t="s">
        <v>295</v>
      </c>
      <c r="AJ23" s="21" t="s">
        <v>76</v>
      </c>
      <c r="AK23" s="21" t="s">
        <v>79</v>
      </c>
      <c r="AL23" s="21" t="s">
        <v>83</v>
      </c>
      <c r="AM23" s="21" t="s">
        <v>82</v>
      </c>
      <c r="AN23" s="21" t="s">
        <v>81</v>
      </c>
      <c r="AO23" s="82" t="s">
        <v>2</v>
      </c>
      <c r="AP23" s="176" t="s">
        <v>294</v>
      </c>
      <c r="AQ23" s="176" t="s">
        <v>295</v>
      </c>
      <c r="AS23" s="21" t="s">
        <v>76</v>
      </c>
      <c r="AT23" s="21" t="s">
        <v>79</v>
      </c>
      <c r="AU23" s="21" t="s">
        <v>83</v>
      </c>
      <c r="AV23" s="21" t="s">
        <v>82</v>
      </c>
      <c r="AW23" s="21" t="s">
        <v>81</v>
      </c>
      <c r="AX23" s="82" t="s">
        <v>2</v>
      </c>
      <c r="AY23" s="176" t="s">
        <v>294</v>
      </c>
      <c r="BA23" s="21" t="s">
        <v>76</v>
      </c>
      <c r="BB23" s="21" t="s">
        <v>79</v>
      </c>
      <c r="BC23" s="21" t="s">
        <v>83</v>
      </c>
      <c r="BD23" s="21" t="s">
        <v>82</v>
      </c>
      <c r="BE23" s="21" t="s">
        <v>81</v>
      </c>
      <c r="BF23" s="82" t="s">
        <v>2</v>
      </c>
      <c r="BI23" s="21" t="s">
        <v>76</v>
      </c>
      <c r="BJ23" s="21" t="s">
        <v>79</v>
      </c>
      <c r="BK23" s="21" t="s">
        <v>83</v>
      </c>
      <c r="BL23" s="21" t="s">
        <v>82</v>
      </c>
      <c r="BM23" s="21" t="s">
        <v>81</v>
      </c>
      <c r="BN23" s="82" t="s">
        <v>2</v>
      </c>
      <c r="BO23" s="188"/>
      <c r="BQ23" s="21" t="s">
        <v>76</v>
      </c>
      <c r="BR23" s="21" t="s">
        <v>79</v>
      </c>
      <c r="BS23" s="21" t="s">
        <v>83</v>
      </c>
      <c r="BT23" s="21" t="s">
        <v>82</v>
      </c>
      <c r="BU23" s="21" t="s">
        <v>81</v>
      </c>
      <c r="BV23" s="82" t="s">
        <v>2</v>
      </c>
      <c r="BY23" s="21" t="s">
        <v>76</v>
      </c>
      <c r="BZ23" s="21" t="s">
        <v>79</v>
      </c>
      <c r="CA23" s="21" t="s">
        <v>83</v>
      </c>
      <c r="CB23" s="21" t="s">
        <v>82</v>
      </c>
      <c r="CC23" s="21" t="s">
        <v>81</v>
      </c>
      <c r="CD23" s="82" t="s">
        <v>2</v>
      </c>
      <c r="CG23" s="21" t="s">
        <v>76</v>
      </c>
      <c r="CH23" s="21" t="s">
        <v>79</v>
      </c>
      <c r="CI23" s="21" t="s">
        <v>83</v>
      </c>
      <c r="CJ23" s="21" t="s">
        <v>82</v>
      </c>
      <c r="CK23" s="21" t="s">
        <v>81</v>
      </c>
      <c r="CL23" s="82" t="s">
        <v>2</v>
      </c>
      <c r="CO23" s="21" t="s">
        <v>76</v>
      </c>
      <c r="CP23" s="21" t="s">
        <v>79</v>
      </c>
      <c r="CQ23" s="21" t="s">
        <v>83</v>
      </c>
      <c r="CR23" s="21" t="s">
        <v>82</v>
      </c>
      <c r="CS23" s="21" t="s">
        <v>81</v>
      </c>
      <c r="CT23" s="82" t="s">
        <v>2</v>
      </c>
      <c r="CW23" s="21" t="s">
        <v>76</v>
      </c>
      <c r="CX23" s="21" t="s">
        <v>79</v>
      </c>
      <c r="CY23" s="21" t="s">
        <v>83</v>
      </c>
      <c r="CZ23" s="21" t="s">
        <v>82</v>
      </c>
      <c r="DA23" s="21" t="s">
        <v>81</v>
      </c>
      <c r="DB23" s="82" t="s">
        <v>2</v>
      </c>
      <c r="DE23" s="21" t="s">
        <v>76</v>
      </c>
      <c r="DF23" s="21" t="s">
        <v>79</v>
      </c>
      <c r="DG23" s="21" t="s">
        <v>83</v>
      </c>
      <c r="DH23" s="21" t="s">
        <v>82</v>
      </c>
      <c r="DI23" s="21" t="s">
        <v>81</v>
      </c>
      <c r="DJ23" s="82" t="s">
        <v>2</v>
      </c>
      <c r="DM23" s="21" t="s">
        <v>76</v>
      </c>
      <c r="DN23" s="21" t="s">
        <v>79</v>
      </c>
      <c r="DO23" s="21" t="s">
        <v>83</v>
      </c>
      <c r="DP23" s="21" t="s">
        <v>82</v>
      </c>
      <c r="DQ23" s="21" t="s">
        <v>81</v>
      </c>
      <c r="DR23" s="82" t="s">
        <v>2</v>
      </c>
    </row>
    <row r="24" spans="2:122" x14ac:dyDescent="0.3">
      <c r="B24" s="197" t="s">
        <v>89</v>
      </c>
      <c r="C24" s="202">
        <f ca="1">OFFSET($Q24,0,(6+8*C$22))</f>
        <v>2.8661500990950119</v>
      </c>
      <c r="D24" s="69">
        <f ca="1">OFFSET($Q24,0,(7+8*D$22))</f>
        <v>2.8661500990950119</v>
      </c>
      <c r="E24" s="203">
        <f ca="1">OFFSET($Q24,0,(8+8*E$22))</f>
        <v>2.8661500990950119</v>
      </c>
      <c r="F24" s="207">
        <f t="shared" ref="F24:L24" ca="1" si="0">OFFSET($Q24,0,(9+8*F$22))</f>
        <v>2.881939419436264</v>
      </c>
      <c r="G24" s="202">
        <f t="shared" ca="1" si="0"/>
        <v>2.8661500990950119</v>
      </c>
      <c r="H24" s="69">
        <f t="shared" ca="1" si="0"/>
        <v>2.8661500990950119</v>
      </c>
      <c r="I24" s="648">
        <f t="shared" ca="1" si="0"/>
        <v>2.8661500990950119</v>
      </c>
      <c r="J24" s="202">
        <f t="shared" ca="1" si="0"/>
        <v>2.8661500990950119</v>
      </c>
      <c r="K24" s="69">
        <f t="shared" ca="1" si="0"/>
        <v>2.8661500990950119</v>
      </c>
      <c r="L24" s="203">
        <f t="shared" ca="1" si="0"/>
        <v>2.8661500990950119</v>
      </c>
      <c r="M24" s="202">
        <f t="shared" ref="M24:O31" ca="1" si="1">OFFSET($Q24,0,(9+8*M$22))</f>
        <v>2.8661500990950119</v>
      </c>
      <c r="N24" s="69">
        <f t="shared" ca="1" si="1"/>
        <v>2.8661500990950119</v>
      </c>
      <c r="O24" s="203">
        <f t="shared" ca="1" si="1"/>
        <v>2.8661500990950119</v>
      </c>
      <c r="Q24" s="21" t="s">
        <v>89</v>
      </c>
      <c r="R24" s="16">
        <f>SUMIFS(R4:R17,$E$4:$E$17,"x")</f>
        <v>2400.63</v>
      </c>
      <c r="S24" s="16">
        <f>SUMIFS(S4:S17,$E$4:$E$17,"x")</f>
        <v>0</v>
      </c>
      <c r="T24" s="16">
        <f>SUMIFS(T4:T17,$E$4:$E$17,"x")</f>
        <v>0</v>
      </c>
      <c r="U24" s="16">
        <f>SUMIFS(U4:U17,$E$4:$E$17,"x")</f>
        <v>0</v>
      </c>
      <c r="V24" s="16">
        <f>SUMIFS(V4:V17,$E$4:$E$17,"x")</f>
        <v>0</v>
      </c>
      <c r="W24" s="71">
        <f>SUM(R24:V24)/'Homes - Inputs'!$D$28</f>
        <v>2.8661500990950119</v>
      </c>
      <c r="X24" s="165">
        <f>W24/$Y$31</f>
        <v>2.3884584159125099E-2</v>
      </c>
      <c r="Z24" s="21" t="s">
        <v>89</v>
      </c>
      <c r="AA24" s="16">
        <f>SUMIFS(AA4:AA17,$E$4:$E$17,"x")</f>
        <v>2400.63</v>
      </c>
      <c r="AB24" s="16">
        <f>SUMIFS(AB4:AB17,$E$4:$E$17,"x")</f>
        <v>0</v>
      </c>
      <c r="AC24" s="16">
        <f>SUMIFS(AC4:AC17,$E$4:$E$17,"x")</f>
        <v>0</v>
      </c>
      <c r="AD24" s="16">
        <f>SUMIFS(AD4:AD17,$E$4:$E$17,"x")</f>
        <v>0</v>
      </c>
      <c r="AE24" s="16">
        <f>SUMIFS(AE4:AE17,$E$4:$E$17,"x")</f>
        <v>0</v>
      </c>
      <c r="AF24" s="71">
        <f>SUM(AA24:AE24)/'Homes - Inputs'!$D$28</f>
        <v>2.8661500990950119</v>
      </c>
      <c r="AG24" s="165">
        <f>AF24/$AF$31</f>
        <v>2.7922870750687334E-2</v>
      </c>
      <c r="AI24" s="21" t="s">
        <v>89</v>
      </c>
      <c r="AJ24" s="16">
        <f>SUMIFS(AJ4:AJ17,$E$4:$E$17,"x")</f>
        <v>2400.63</v>
      </c>
      <c r="AK24" s="16">
        <f>SUMIFS(AK4:AK17,$E$4:$E$17,"x")</f>
        <v>0</v>
      </c>
      <c r="AL24" s="16">
        <f>SUMIFS(AL4:AL17,$E$4:$E$17,"x")</f>
        <v>0</v>
      </c>
      <c r="AM24" s="16">
        <f>SUMIFS(AM4:AM17,$E$4:$E$17,"x")</f>
        <v>0</v>
      </c>
      <c r="AN24" s="16">
        <f>SUMIFS(AN4:AN17,$E$4:$E$17,"x")</f>
        <v>0</v>
      </c>
      <c r="AO24" s="71">
        <f>SUM(AJ24:AN24)/'Homes - Inputs'!$D$28</f>
        <v>2.8661500990950119</v>
      </c>
      <c r="AP24" s="165">
        <f>AO24/$AO$31</f>
        <v>3.5305786261623409E-2</v>
      </c>
      <c r="AR24" s="21" t="s">
        <v>89</v>
      </c>
      <c r="AS24" s="16">
        <f>SUMIFS(AS4:AS17,$E$4:$E$17,"x")</f>
        <v>6850.37</v>
      </c>
      <c r="AT24" s="16">
        <f>SUMIFS(AT4:AT17,$E$4:$E$17,"x")</f>
        <v>0</v>
      </c>
      <c r="AU24" s="16">
        <f>SUMIFS(AU4:AU17,$E$4:$E$17,"x")</f>
        <v>0</v>
      </c>
      <c r="AV24" s="16">
        <f>SUMIFS(AV4:AV17,$E$4:$E$17,"x")</f>
        <v>0</v>
      </c>
      <c r="AW24" s="16">
        <f>SUMIFS(AW4:AW17,$E$4:$E$17,"x")</f>
        <v>0</v>
      </c>
      <c r="AX24" s="71">
        <f>SUM(AS24:AW24)/'Homes - Inputs'!$E$28</f>
        <v>2.881939419436264</v>
      </c>
      <c r="AY24" s="175">
        <f>AX24/$AX$31</f>
        <v>3.1908967561232439E-2</v>
      </c>
      <c r="AZ24" s="21" t="s">
        <v>89</v>
      </c>
      <c r="BA24" s="16">
        <f>SUMIFS(BA4:BA17,$E$4:$E$17,"x")</f>
        <v>2400.63</v>
      </c>
      <c r="BB24" s="16">
        <f>SUMIFS(BB4:BB17,$E$4:$E$17,"x")</f>
        <v>0</v>
      </c>
      <c r="BC24" s="16">
        <f>SUMIFS(BC4:BC17,$E$4:$E$17,"x")</f>
        <v>0</v>
      </c>
      <c r="BD24" s="16">
        <f>SUMIFS(BD4:BD17,$E$4:$E$17,"x")</f>
        <v>0</v>
      </c>
      <c r="BE24" s="16">
        <f>SUMIFS(BE4:BE17,$E$4:$E$17,"x")</f>
        <v>0</v>
      </c>
      <c r="BF24" s="71">
        <f>SUM(BA24:BE24)/'Homes - Inputs'!$D$28</f>
        <v>2.8661500990950119</v>
      </c>
      <c r="BH24" s="21" t="s">
        <v>89</v>
      </c>
      <c r="BI24" s="16">
        <f>SUMIFS(BI4:BI17,$E$4:$E$17,"x")</f>
        <v>2400.63</v>
      </c>
      <c r="BJ24" s="16">
        <f>SUMIFS(BJ4:BJ17,$E$4:$E$17,"x")</f>
        <v>0</v>
      </c>
      <c r="BK24" s="16">
        <f>SUMIFS(BK4:BK17,$E$4:$E$17,"x")</f>
        <v>0</v>
      </c>
      <c r="BL24" s="16">
        <f>SUMIFS(BL4:BL17,$E$4:$E$17,"x")</f>
        <v>0</v>
      </c>
      <c r="BM24" s="16">
        <f>SUMIFS(BM4:BM17,$E$4:$E$17,"x")</f>
        <v>0</v>
      </c>
      <c r="BN24" s="577">
        <f>SUM(BI24:BM24)/'Homes - Inputs'!$D$28</f>
        <v>2.8661500990950119</v>
      </c>
      <c r="BO24" s="180"/>
      <c r="BP24" s="21" t="s">
        <v>89</v>
      </c>
      <c r="BQ24" s="16">
        <f>SUMIFS(BQ4:BQ17,$E$4:$E$17,"x")</f>
        <v>2400.63</v>
      </c>
      <c r="BR24" s="16">
        <f>SUMIFS(BR4:BR17,$E$4:$E$17,"x")</f>
        <v>0</v>
      </c>
      <c r="BS24" s="16">
        <f>SUMIFS(BS4:BS17,$E$4:$E$17,"x")</f>
        <v>0</v>
      </c>
      <c r="BT24" s="16">
        <f>SUMIFS(BT4:BT17,$E$4:$E$17,"x")</f>
        <v>0</v>
      </c>
      <c r="BU24" s="16">
        <f>SUMIFS(BU4:BU17,$E$4:$E$17,"x")</f>
        <v>0</v>
      </c>
      <c r="BV24" s="71">
        <f>SUM(BQ24:BU24)/'Homes - Inputs'!$D$28</f>
        <v>2.8661500990950119</v>
      </c>
      <c r="BX24" s="21" t="s">
        <v>89</v>
      </c>
      <c r="BY24" s="16">
        <f>SUMIFS(BY4:BY17,$E$4:$E$17,"x")</f>
        <v>2400.63</v>
      </c>
      <c r="BZ24" s="16">
        <f>SUMIFS(BZ4:BZ17,$E$4:$E$17,"x")</f>
        <v>0</v>
      </c>
      <c r="CA24" s="16">
        <f>SUMIFS(CA4:CA17,$E$4:$E$17,"x")</f>
        <v>0</v>
      </c>
      <c r="CB24" s="16">
        <f>SUMIFS(CB4:CB17,$E$4:$E$17,"x")</f>
        <v>0</v>
      </c>
      <c r="CC24" s="16">
        <f>SUMIFS(CC4:CC17,$E$4:$E$17,"x")</f>
        <v>0</v>
      </c>
      <c r="CD24" s="71">
        <f>SUM(BY24:CC24)/'Homes - Inputs'!$D$28</f>
        <v>2.8661500990950119</v>
      </c>
      <c r="CF24" s="21" t="s">
        <v>89</v>
      </c>
      <c r="CG24" s="16">
        <f>SUMIFS(CG4:CG17,$E$4:$E$17,"x")</f>
        <v>2400.63</v>
      </c>
      <c r="CH24" s="16">
        <f>SUMIFS(CH4:CH17,$E$4:$E$17,"x")</f>
        <v>0</v>
      </c>
      <c r="CI24" s="16">
        <f>SUMIFS(CI4:CI17,$E$4:$E$17,"x")</f>
        <v>0</v>
      </c>
      <c r="CJ24" s="16">
        <f>SUMIFS(CJ4:CJ17,$E$4:$E$17,"x")</f>
        <v>0</v>
      </c>
      <c r="CK24" s="16">
        <f>SUMIFS(CK4:CK17,$E$4:$E$17,"x")</f>
        <v>0</v>
      </c>
      <c r="CL24" s="71">
        <f>SUM(CG24:CK24)/'Homes - Inputs'!$D$28</f>
        <v>2.8661500990950119</v>
      </c>
      <c r="CN24" s="21" t="s">
        <v>89</v>
      </c>
      <c r="CO24" s="16">
        <f>SUMIFS(CO4:CO17,$E$4:$E$17,"x")</f>
        <v>2400.63</v>
      </c>
      <c r="CP24" s="16">
        <f>SUMIFS(CP4:CP17,$E$4:$E$17,"x")</f>
        <v>0</v>
      </c>
      <c r="CQ24" s="16">
        <f>SUMIFS(CQ4:CQ17,$E$4:$E$17,"x")</f>
        <v>0</v>
      </c>
      <c r="CR24" s="16">
        <f>SUMIFS(CR4:CR17,$E$4:$E$17,"x")</f>
        <v>0</v>
      </c>
      <c r="CS24" s="16">
        <f>SUMIFS(CS4:CS17,$E$4:$E$17,"x")</f>
        <v>0</v>
      </c>
      <c r="CT24" s="71">
        <f>SUM(CO24:CS24)/'Homes - Inputs'!$D$28</f>
        <v>2.8661500990950119</v>
      </c>
      <c r="CV24" s="21" t="s">
        <v>89</v>
      </c>
      <c r="CW24" s="16">
        <f>SUMIFS(CW4:CW17,$E$4:$E$17,"x")</f>
        <v>2400.63</v>
      </c>
      <c r="CX24" s="16">
        <f>SUMIFS(CX4:CX17,$E$4:$E$17,"x")</f>
        <v>0</v>
      </c>
      <c r="CY24" s="16">
        <f>SUMIFS(CY4:CY17,$E$4:$E$17,"x")</f>
        <v>0</v>
      </c>
      <c r="CZ24" s="16">
        <f>SUMIFS(CZ4:CZ17,$E$4:$E$17,"x")</f>
        <v>0</v>
      </c>
      <c r="DA24" s="16">
        <f>SUMIFS(DA4:DA17,$E$4:$E$17,"x")</f>
        <v>0</v>
      </c>
      <c r="DB24" s="71">
        <f>SUM(CW24:DA24)/'Homes - Inputs'!$D$28</f>
        <v>2.8661500990950119</v>
      </c>
      <c r="DD24" s="21" t="s">
        <v>89</v>
      </c>
      <c r="DE24" s="16">
        <f>SUMIFS(DE4:DE17,$E$4:$E$17,"x")</f>
        <v>2400.63</v>
      </c>
      <c r="DF24" s="16">
        <f>SUMIFS(DF4:DF17,$E$4:$E$17,"x")</f>
        <v>0</v>
      </c>
      <c r="DG24" s="16">
        <f>SUMIFS(DG4:DG17,$E$4:$E$17,"x")</f>
        <v>0</v>
      </c>
      <c r="DH24" s="16">
        <f>SUMIFS(DH4:DH17,$E$4:$E$17,"x")</f>
        <v>0</v>
      </c>
      <c r="DI24" s="16">
        <f>SUMIFS(DI4:DI17,$E$4:$E$17,"x")</f>
        <v>0</v>
      </c>
      <c r="DJ24" s="71">
        <f>SUM(DE24:DI24)/'Homes - Inputs'!$D$28</f>
        <v>2.8661500990950119</v>
      </c>
      <c r="DL24" s="21" t="s">
        <v>89</v>
      </c>
      <c r="DM24" s="16">
        <f>SUMIFS(DM4:DM17,$E$4:$E$17,"x")</f>
        <v>2400.63</v>
      </c>
      <c r="DN24" s="16">
        <f>SUMIFS(DN4:DN17,$E$4:$E$17,"x")</f>
        <v>0</v>
      </c>
      <c r="DO24" s="16">
        <f>SUMIFS(DO4:DO17,$E$4:$E$17,"x")</f>
        <v>0</v>
      </c>
      <c r="DP24" s="16">
        <f>SUMIFS(DP4:DP17,$E$4:$E$17,"x")</f>
        <v>0</v>
      </c>
      <c r="DQ24" s="16">
        <f>SUMIFS(DQ4:DQ17,$E$4:$E$17,"x")</f>
        <v>0</v>
      </c>
      <c r="DR24" s="71">
        <f>SUM(DM24:DQ24)/'Homes - Inputs'!$D$28</f>
        <v>2.8661500990950119</v>
      </c>
    </row>
    <row r="25" spans="2:122" x14ac:dyDescent="0.3">
      <c r="B25" s="197" t="s">
        <v>90</v>
      </c>
      <c r="C25" s="202">
        <f ca="1">OFFSET($Q25,0,(6+8*C$22))</f>
        <v>88.115188996871936</v>
      </c>
      <c r="D25" s="69">
        <f t="shared" ref="D25:D30" ca="1" si="2">OFFSET($Q25,0,(7+8*D$22))</f>
        <v>68.923565510160216</v>
      </c>
      <c r="E25" s="203">
        <f t="shared" ref="E25:E31" ca="1" si="3">OFFSET($Q25,0,(8+8*E$22))</f>
        <v>52.937391055182786</v>
      </c>
      <c r="F25" s="207">
        <f t="shared" ref="F25:I31" ca="1" si="4">OFFSET($Q25,0,(9+8*F$22))</f>
        <v>59.533962978544388</v>
      </c>
      <c r="G25" s="202">
        <f t="shared" ca="1" si="4"/>
        <v>69.606389837388662</v>
      </c>
      <c r="H25" s="69">
        <f t="shared" ca="1" si="4"/>
        <v>60.881324768977294</v>
      </c>
      <c r="I25" s="648">
        <f t="shared" ca="1" si="4"/>
        <v>52.937391055182786</v>
      </c>
      <c r="J25" s="202">
        <f t="shared" ref="J25:L31" ca="1" si="5">OFFSET($Q25,0,(9+8*J$22))</f>
        <v>18.700768881778455</v>
      </c>
      <c r="K25" s="69">
        <f t="shared" ca="1" si="5"/>
        <v>14.143377349029345</v>
      </c>
      <c r="L25" s="203">
        <f t="shared" ca="1" si="5"/>
        <v>10.524905083693499</v>
      </c>
      <c r="M25" s="202">
        <f t="shared" ca="1" si="1"/>
        <v>14.535507056042407</v>
      </c>
      <c r="N25" s="69">
        <f t="shared" ca="1" si="1"/>
        <v>12.382757467943359</v>
      </c>
      <c r="O25" s="203">
        <f t="shared" ca="1" si="1"/>
        <v>10.524905083693499</v>
      </c>
      <c r="Q25" s="21" t="s">
        <v>90</v>
      </c>
      <c r="R25" s="16">
        <f>SUMIFS(R4:R17,$F$4:$F$17,"x")</f>
        <v>0</v>
      </c>
      <c r="S25" s="16">
        <f>SUMIFS(S4:S17,$F$4:$F$17,"x")</f>
        <v>73803.520000000004</v>
      </c>
      <c r="T25" s="16">
        <f>SUMIFS(T4:T17,$F$4:$F$17,"x")</f>
        <v>0</v>
      </c>
      <c r="U25" s="16">
        <f>SUMIFS(U4:U17,$F$4:$F$17,"x")</f>
        <v>0</v>
      </c>
      <c r="V25" s="16">
        <f>SUMIFS(V4:V17,$F$4:$F$17,"x")</f>
        <v>0</v>
      </c>
      <c r="W25" s="577">
        <f>SUM(R25:V25)/'Homes - Inputs'!$D$28</f>
        <v>88.115188996871936</v>
      </c>
      <c r="X25" s="165">
        <f t="shared" ref="X25:X30" si="6">W25/$Y$31</f>
        <v>0.7342932416405995</v>
      </c>
      <c r="Y25">
        <v>97</v>
      </c>
      <c r="Z25" s="21" t="s">
        <v>90</v>
      </c>
      <c r="AA25" s="16">
        <f>SUMIFS(AA4:AA17,$F$4:$F$17,"x")</f>
        <v>0</v>
      </c>
      <c r="AB25" s="16">
        <f>SUMIFS(AB4:AB17,$F$4:$F$17,"x")</f>
        <v>57729</v>
      </c>
      <c r="AC25" s="16">
        <f>SUMIFS(AC4:AC17,$F$4:$F$17,"x")</f>
        <v>0</v>
      </c>
      <c r="AD25" s="16">
        <f>SUMIFS(AD4:AD17,$F$4:$F$17,"x")</f>
        <v>0</v>
      </c>
      <c r="AE25" s="16">
        <f>SUMIFS(AE4:AE17,$F$4:$F$17,"x")</f>
        <v>0</v>
      </c>
      <c r="AF25" s="577">
        <f>SUM(AA25:AE25)/'Homes - Inputs'!$D$28</f>
        <v>68.923565510160216</v>
      </c>
      <c r="AG25" s="165">
        <f t="shared" ref="AG25:AG30" si="7">AF25/$AF$31</f>
        <v>0.67147349052808181</v>
      </c>
      <c r="AH25">
        <v>68.5</v>
      </c>
      <c r="AI25" s="21" t="s">
        <v>90</v>
      </c>
      <c r="AJ25" s="16">
        <f>SUMIFS(AJ4:AJ17,$F$4:$F$17,"x")</f>
        <v>0</v>
      </c>
      <c r="AK25" s="16">
        <f>SUMIFS(AK4:AK17,$F$4:$F$17,"x")</f>
        <v>44339.3</v>
      </c>
      <c r="AL25" s="16">
        <f>SUMIFS(AL4:AL17,$F$4:$F$17,"x")</f>
        <v>0</v>
      </c>
      <c r="AM25" s="16">
        <f>SUMIFS(AM4:AM17,$F$4:$F$17,"x")</f>
        <v>0</v>
      </c>
      <c r="AN25" s="16">
        <f>SUMIFS(AN4:AN17,$F$4:$F$17,"x")</f>
        <v>0</v>
      </c>
      <c r="AO25" s="577">
        <f>SUM(AJ25:AN25)/'Homes - Inputs'!$D$28</f>
        <v>52.937391055182786</v>
      </c>
      <c r="AP25" s="165">
        <f t="shared" ref="AP25:AP30" si="8">AO25/$AO$31</f>
        <v>0.65209292926856643</v>
      </c>
      <c r="AQ25">
        <v>50</v>
      </c>
      <c r="AR25" s="21" t="s">
        <v>90</v>
      </c>
      <c r="AS25" s="16">
        <f>SUMIFS(AS4:AS17,$F$4:$F$17,"x")</f>
        <v>0</v>
      </c>
      <c r="AT25" s="16">
        <f>SUMIFS(AT4:AT17,$F$4:$F$17,"x")</f>
        <v>141512.23000000001</v>
      </c>
      <c r="AU25" s="16">
        <f>SUMIFS(AU4:AU17,$F$4:$F$17,"x")</f>
        <v>0</v>
      </c>
      <c r="AV25" s="16">
        <f>SUMIFS(AV4:AV17,$F$4:$F$17,"x")</f>
        <v>0</v>
      </c>
      <c r="AW25" s="16">
        <f>SUMIFS(AW4:AW17,$F$4:$F$17,"x")</f>
        <v>0</v>
      </c>
      <c r="AX25" s="71">
        <f>SUM(AS25:AW25)/'Homes - Inputs'!$E$28</f>
        <v>59.533962978544388</v>
      </c>
      <c r="AY25" s="175">
        <f t="shared" ref="AY25:AY30" si="9">AX25/$AX$31</f>
        <v>0.65916281260540155</v>
      </c>
      <c r="AZ25" s="21" t="s">
        <v>90</v>
      </c>
      <c r="BA25" s="16">
        <f>SUMIFS(BA4:BA17,$F$4:$F$17,"x")</f>
        <v>0</v>
      </c>
      <c r="BB25" s="16">
        <f>SUMIFS(BB4:BB17,$F$4:$F$17,"x")</f>
        <v>58300.92</v>
      </c>
      <c r="BC25" s="16">
        <f>SUMIFS(BC4:BC17,$F$4:$F$17,"x")</f>
        <v>0</v>
      </c>
      <c r="BD25" s="16">
        <f>SUMIFS(BD4:BD17,$F$4:$F$17,"x")</f>
        <v>0</v>
      </c>
      <c r="BE25" s="16">
        <f>SUMIFS(BE4:BE17,$F$4:$F$17,"x")</f>
        <v>0</v>
      </c>
      <c r="BF25" s="577">
        <f>SUM(BA25:BE25)/'Homes - Inputs'!$D$28</f>
        <v>69.606389837388662</v>
      </c>
      <c r="BG25" s="172"/>
      <c r="BH25" s="21" t="s">
        <v>90</v>
      </c>
      <c r="BI25" s="16">
        <f>SUMIFS(BI4:BI17,$F$4:$F$17,"x")</f>
        <v>0</v>
      </c>
      <c r="BJ25" s="16">
        <f>SUMIFS(BJ4:BJ17,$F$4:$F$17,"x")</f>
        <v>50992.98</v>
      </c>
      <c r="BK25" s="16">
        <f>SUMIFS(BK4:BK17,$F$4:$F$17,"x")</f>
        <v>0</v>
      </c>
      <c r="BL25" s="16">
        <f>SUMIFS(BL4:BL17,$F$4:$F$17,"x")</f>
        <v>0</v>
      </c>
      <c r="BM25" s="16">
        <f>SUMIFS(BM4:BM17,$F$4:$F$17,"x")</f>
        <v>0</v>
      </c>
      <c r="BN25" s="577">
        <f>SUM(BI25:BM25)/'Homes - Inputs'!$D$28</f>
        <v>60.881324768977294</v>
      </c>
      <c r="BO25" s="178"/>
      <c r="BP25" s="21" t="s">
        <v>90</v>
      </c>
      <c r="BQ25" s="16">
        <f>SUMIFS(BQ4:BQ17,$F$4:$F$17,"x")</f>
        <v>0</v>
      </c>
      <c r="BR25" s="16">
        <f>SUMIFS(BR4:BR17,$F$4:$F$17,"x")</f>
        <v>44339.3</v>
      </c>
      <c r="BS25" s="16">
        <f>SUMIFS(BS4:BS17,$F$4:$F$17,"x")</f>
        <v>0</v>
      </c>
      <c r="BT25" s="16">
        <f>SUMIFS(BT4:BT17,$F$4:$F$17,"x")</f>
        <v>0</v>
      </c>
      <c r="BU25" s="16">
        <f>SUMIFS(BU4:BU17,$F$4:$F$17,"x")</f>
        <v>0</v>
      </c>
      <c r="BV25" s="577">
        <f>SUM(BQ25:BU25)/'Homes - Inputs'!$D$28</f>
        <v>52.937391055182786</v>
      </c>
      <c r="BX25" s="21" t="s">
        <v>90</v>
      </c>
      <c r="BY25" s="16">
        <f>SUMIFS(BY4:BY17,$F$4:$F$17,"x")</f>
        <v>15663.39</v>
      </c>
      <c r="BZ25" s="16">
        <f>SUMIFS(BZ4:BZ17,$F$4:$F$17,"x")</f>
        <v>0</v>
      </c>
      <c r="CA25" s="16">
        <f>SUMIFS(CA5:CA18,$E$4:$E$17,"x")</f>
        <v>0</v>
      </c>
      <c r="CB25" s="16">
        <f>SUMIFS(CB4:CB17,$F$4:$F$17,"x")</f>
        <v>0</v>
      </c>
      <c r="CC25" s="16">
        <f>SUMIFS(CC4:CC17,$F$4:$F$17,"x")</f>
        <v>0</v>
      </c>
      <c r="CD25" s="71">
        <f>SUM(BY25:CC25)/'Homes - Inputs'!$D$28</f>
        <v>18.700768881778455</v>
      </c>
      <c r="CF25" s="21" t="s">
        <v>90</v>
      </c>
      <c r="CG25" s="16">
        <f>SUMIFS(CG4:CG17,$F$4:$F$17,"x")</f>
        <v>11846.21</v>
      </c>
      <c r="CH25" s="16">
        <f>SUMIFS(CH4:CH17,$F$4:$F$17,"x")</f>
        <v>0</v>
      </c>
      <c r="CI25" s="16">
        <f>SUMIFS(CI5:CI18,$E$4:$E$17,"x")</f>
        <v>0</v>
      </c>
      <c r="CJ25" s="16">
        <f>SUMIFS(CJ4:CJ17,$F$4:$F$17,"x")</f>
        <v>0</v>
      </c>
      <c r="CK25" s="16">
        <f>SUMIFS(CK4:CK17,$F$4:$F$17,"x")</f>
        <v>0</v>
      </c>
      <c r="CL25" s="71">
        <f>SUM(CG25:CK25)/'Homes - Inputs'!$D$28</f>
        <v>14.143377349029345</v>
      </c>
      <c r="CN25" s="21" t="s">
        <v>90</v>
      </c>
      <c r="CO25" s="16">
        <f>SUMIFS(CO4:CO17,$F$4:$F$17,"x")</f>
        <v>8815.4500000000007</v>
      </c>
      <c r="CP25" s="16">
        <f>SUMIFS(CP4:CP17,$F$4:$F$17,"x")</f>
        <v>0</v>
      </c>
      <c r="CQ25" s="16">
        <f>SUMIFS(CQ5:CQ18,$E$4:$E$17,"x")</f>
        <v>0</v>
      </c>
      <c r="CR25" s="16">
        <f>SUMIFS(CR4:CR17,$F$4:$F$17,"x")</f>
        <v>0</v>
      </c>
      <c r="CS25" s="16">
        <f>SUMIFS(CS4:CS17,$F$4:$F$17,"x")</f>
        <v>0</v>
      </c>
      <c r="CT25" s="71">
        <f>SUM(CO25:CS25)/'Homes - Inputs'!$D$28</f>
        <v>10.524905083693499</v>
      </c>
      <c r="CV25" s="21" t="s">
        <v>90</v>
      </c>
      <c r="CW25" s="16">
        <f>SUMIFS(CW4:CW17,$F$4:$F$17,"x")</f>
        <v>12174.65</v>
      </c>
      <c r="CX25" s="16">
        <f>SUMIFS(CX4:CX17,$F$4:$F$17,"x")</f>
        <v>0</v>
      </c>
      <c r="CY25" s="16">
        <f>SUMIFS(CY5:CY18,$E$4:$E$17,"x")</f>
        <v>0</v>
      </c>
      <c r="CZ25" s="16">
        <f>SUMIFS(CZ4:CZ17,$F$4:$F$17,"x")</f>
        <v>0</v>
      </c>
      <c r="DA25" s="16">
        <f>SUMIFS(DA4:DA17,$F$4:$F$17,"x")</f>
        <v>0</v>
      </c>
      <c r="DB25" s="71">
        <f>SUM(CW25:DA25)/'Homes - Inputs'!$D$28</f>
        <v>14.535507056042407</v>
      </c>
      <c r="DD25" s="21" t="s">
        <v>90</v>
      </c>
      <c r="DE25" s="16">
        <f>SUMIFS(DE4:DE17,$F$4:$F$17,"x")</f>
        <v>10371.549999999999</v>
      </c>
      <c r="DF25" s="16">
        <f>SUMIFS(DF4:DF17,$F$4:$F$17,"x")</f>
        <v>0</v>
      </c>
      <c r="DG25" s="16">
        <f>SUMIFS(DG5:DG18,$E$4:$E$17,"x")</f>
        <v>0</v>
      </c>
      <c r="DH25" s="16">
        <f>SUMIFS(DH4:DH17,$F$4:$F$17,"x")</f>
        <v>0</v>
      </c>
      <c r="DI25" s="16">
        <f>SUMIFS(DI4:DI17,$F$4:$F$17,"x")</f>
        <v>0</v>
      </c>
      <c r="DJ25" s="71">
        <f>SUM(DE25:DI25)/'Homes - Inputs'!$D$28</f>
        <v>12.382757467943359</v>
      </c>
      <c r="DL25" s="21" t="s">
        <v>90</v>
      </c>
      <c r="DM25" s="16">
        <f>SUMIFS(DM4:DM17,$F$4:$F$17,"x")</f>
        <v>8815.4500000000007</v>
      </c>
      <c r="DN25" s="16">
        <f>SUMIFS(DN4:DN17,$F$4:$F$17,"x")</f>
        <v>0</v>
      </c>
      <c r="DO25" s="16">
        <f>SUMIFS(DO5:DO18,$E$4:$E$17,"x")</f>
        <v>0</v>
      </c>
      <c r="DP25" s="16">
        <f>SUMIFS(DP4:DP17,$F$4:$F$17,"x")</f>
        <v>0</v>
      </c>
      <c r="DQ25" s="16">
        <f>SUMIFS(DQ4:DQ17,$F$4:$F$17,"x")</f>
        <v>0</v>
      </c>
      <c r="DR25" s="71">
        <f>SUM(DM25:DQ25)/'Homes - Inputs'!$D$28</f>
        <v>10.524905083693499</v>
      </c>
    </row>
    <row r="26" spans="2:122" x14ac:dyDescent="0.3">
      <c r="B26" s="197" t="s">
        <v>91</v>
      </c>
      <c r="C26" s="202">
        <f t="shared" ref="C26:C31" ca="1" si="10">OFFSET($Q26,0,(6+8*C$22))</f>
        <v>9.9073521335275441</v>
      </c>
      <c r="D26" s="69">
        <f t="shared" ca="1" si="2"/>
        <v>6.3249600038205305</v>
      </c>
      <c r="E26" s="203">
        <f t="shared" ca="1" si="3"/>
        <v>5.0143866854509413</v>
      </c>
      <c r="F26" s="207">
        <f t="shared" ca="1" si="4"/>
        <v>1.9428355069415228</v>
      </c>
      <c r="G26" s="202">
        <f t="shared" ca="1" si="4"/>
        <v>9.0507414217149407</v>
      </c>
      <c r="H26" s="69">
        <f t="shared" ca="1" si="4"/>
        <v>6.1511019842880676</v>
      </c>
      <c r="I26" s="648">
        <f t="shared" ca="1" si="4"/>
        <v>5.0143866854509413</v>
      </c>
      <c r="J26" s="202">
        <f t="shared" ca="1" si="5"/>
        <v>4.5395663697796031</v>
      </c>
      <c r="K26" s="69">
        <f t="shared" ca="1" si="5"/>
        <v>2.7950404737457917</v>
      </c>
      <c r="L26" s="203">
        <f t="shared" ca="1" si="5"/>
        <v>2.3539482795673248</v>
      </c>
      <c r="M26" s="202">
        <f t="shared" ca="1" si="1"/>
        <v>4.81643544497242</v>
      </c>
      <c r="N26" s="69">
        <f t="shared" ca="1" si="1"/>
        <v>2.7850235201413591</v>
      </c>
      <c r="O26" s="203">
        <f t="shared" ca="1" si="1"/>
        <v>2.3539482795673248</v>
      </c>
      <c r="Q26" s="21" t="s">
        <v>91</v>
      </c>
      <c r="R26" s="16">
        <f>SUMIFS(R4:R17,$G$4:$G$17,"x")</f>
        <v>8298.2000000000007</v>
      </c>
      <c r="S26" s="16">
        <f>SUMIFS(S4:S17,$G$4:$G$17,"x")</f>
        <v>0</v>
      </c>
      <c r="T26" s="16">
        <f>SUMIFS(T4:T17,$G$4:$G$17,"x")</f>
        <v>0</v>
      </c>
      <c r="U26" s="16">
        <f>SUMIFS(U4:U17,$G$4:$G$17,"x")</f>
        <v>0</v>
      </c>
      <c r="V26" s="16">
        <f>SUMIFS(V4:V17,$G$4:$G$17,"x")</f>
        <v>0</v>
      </c>
      <c r="W26" s="71">
        <f>SUM(R26:V26)/'Homes - Inputs'!$D$28</f>
        <v>9.9073521335275441</v>
      </c>
      <c r="X26" s="165">
        <f t="shared" si="6"/>
        <v>8.2561267779396194E-2</v>
      </c>
      <c r="Y26">
        <v>23</v>
      </c>
      <c r="Z26" s="21" t="s">
        <v>91</v>
      </c>
      <c r="AA26" s="16">
        <f>SUMIFS(AA4:AA17,$G$4:$G$17,"x")</f>
        <v>5297.66</v>
      </c>
      <c r="AB26" s="16">
        <f>SUMIFS(AB4:AB17,$G$4:$G$17,"x")</f>
        <v>0</v>
      </c>
      <c r="AC26" s="16">
        <f>SUMIFS(AC4:AC17,$G$4:$G$17,"x")</f>
        <v>0</v>
      </c>
      <c r="AD26" s="16">
        <f>SUMIFS(AD4:AD17,$G$4:$G$17,"x")</f>
        <v>0</v>
      </c>
      <c r="AE26" s="16">
        <f>SUMIFS(AE4:AE17,$G$4:$G$17,"x")</f>
        <v>0</v>
      </c>
      <c r="AF26" s="71">
        <f>SUM(AA26:AE26)/'Homes - Inputs'!$D$28</f>
        <v>6.3249600038205305</v>
      </c>
      <c r="AG26" s="165">
        <f t="shared" si="7"/>
        <v>6.1619606295466714E-2</v>
      </c>
      <c r="AH26">
        <v>20</v>
      </c>
      <c r="AI26" s="21" t="s">
        <v>91</v>
      </c>
      <c r="AJ26" s="16">
        <f>SUMIFS(AJ4:AJ17,$G$4:$G$17,"x")</f>
        <v>4199.95</v>
      </c>
      <c r="AK26" s="16">
        <f>SUMIFS(AK4:AK17,$G$4:$G$17,"x")</f>
        <v>0</v>
      </c>
      <c r="AL26" s="16">
        <f>SUMIFS(AL4:AL17,$G$4:$G$17,"x")</f>
        <v>0</v>
      </c>
      <c r="AM26" s="16">
        <f>SUMIFS(AM4:AM17,$G$4:$G$17,"x")</f>
        <v>0</v>
      </c>
      <c r="AN26" s="16">
        <f>SUMIFS(AN4:AN17,$G$4:$G$17,"x")</f>
        <v>0</v>
      </c>
      <c r="AO26" s="71">
        <f>SUM(AJ26:AN26)/'Homes - Inputs'!$D$28</f>
        <v>5.0143866854509413</v>
      </c>
      <c r="AP26" s="165">
        <f t="shared" si="8"/>
        <v>6.1768176274355151E-2</v>
      </c>
      <c r="AQ26">
        <v>16</v>
      </c>
      <c r="AR26" s="21" t="s">
        <v>91</v>
      </c>
      <c r="AS26" s="16">
        <f>SUMIFS(AS4:AS17,$G$4:$G$17,"x")</f>
        <v>4618.12</v>
      </c>
      <c r="AT26" s="16">
        <f>SUMIFS(AT4:AT17,$G$4:$G$17,"x")</f>
        <v>0</v>
      </c>
      <c r="AU26" s="16">
        <f>SUMIFS(AU4:AU17,$G$4:$G$17,"x")</f>
        <v>0</v>
      </c>
      <c r="AV26" s="16">
        <f>SUMIFS(AV4:AV17,$G$4:$G$17,"x")</f>
        <v>0</v>
      </c>
      <c r="AW26" s="16">
        <f>SUMIFS(AW4:AW17,$G$4:$G$17,"x")</f>
        <v>0</v>
      </c>
      <c r="AX26" s="71">
        <f>SUM(AS26:AW26)/'Homes - Inputs'!$E$28</f>
        <v>1.9428355069415228</v>
      </c>
      <c r="AY26" s="165">
        <f t="shared" si="9"/>
        <v>2.1511165276310442E-2</v>
      </c>
      <c r="AZ26" s="21" t="s">
        <v>91</v>
      </c>
      <c r="BA26" s="16">
        <f>SUMIFS(BA4:BA17,$G$4:$G$17,"x")</f>
        <v>7580.72</v>
      </c>
      <c r="BB26" s="16">
        <f>SUMIFS(BB4:BB17,$G$4:$G$17,"x")</f>
        <v>0</v>
      </c>
      <c r="BC26" s="16">
        <f>SUMIFS(BC4:BC17,$G$4:$G$17,"x")</f>
        <v>0</v>
      </c>
      <c r="BD26" s="16">
        <f>SUMIFS(BD4:BD17,$G$4:$G$17,"x")</f>
        <v>0</v>
      </c>
      <c r="BE26" s="16">
        <f>SUMIFS(BE4:BE17,$G$4:$G$17,"x")</f>
        <v>0</v>
      </c>
      <c r="BF26" s="71">
        <f>SUM(BA26:BE26)/'Homes - Inputs'!$D$28</f>
        <v>9.0507414217149407</v>
      </c>
      <c r="BG26" s="172"/>
      <c r="BH26" s="21" t="s">
        <v>91</v>
      </c>
      <c r="BI26" s="16">
        <f>SUMIFS(BI4:BI17,$G$4:$G$17,"x")</f>
        <v>5152.04</v>
      </c>
      <c r="BJ26" s="16">
        <f>SUMIFS(BJ4:BJ17,$G$4:$G$17,"x")</f>
        <v>0</v>
      </c>
      <c r="BK26" s="16">
        <f>SUMIFS(BK4:BK17,$G$4:$G$17,"x")</f>
        <v>0</v>
      </c>
      <c r="BL26" s="16">
        <f>SUMIFS(BL4:BL17,$G$4:$G$17,"x")</f>
        <v>0</v>
      </c>
      <c r="BM26" s="16">
        <f>SUMIFS(BM4:BM17,$G$4:$G$17,"x")</f>
        <v>0</v>
      </c>
      <c r="BN26" s="577">
        <f>SUM(BI26:BM26)/'Homes - Inputs'!$D$28</f>
        <v>6.1511019842880676</v>
      </c>
      <c r="BO26" s="178"/>
      <c r="BP26" s="21" t="s">
        <v>91</v>
      </c>
      <c r="BQ26" s="16">
        <f>SUMIFS(BQ4:BQ17,$G$4:$G$17,"x")</f>
        <v>4199.95</v>
      </c>
      <c r="BR26" s="16">
        <f>SUMIFS(BR4:BR17,$G$4:$G$17,"x")</f>
        <v>0</v>
      </c>
      <c r="BS26" s="16">
        <f>SUMIFS(BS4:BS17,$G$4:$G$17,"x")</f>
        <v>0</v>
      </c>
      <c r="BT26" s="16">
        <f>SUMIFS(BT4:BT17,$G$4:$G$17,"x")</f>
        <v>0</v>
      </c>
      <c r="BU26" s="16">
        <f>SUMIFS(BU4:BU17,$G$4:$G$17,"x")</f>
        <v>0</v>
      </c>
      <c r="BV26" s="71">
        <f>SUM(BQ26:BU26)/'Homes - Inputs'!$D$28</f>
        <v>5.0143866854509413</v>
      </c>
      <c r="BW26" s="185"/>
      <c r="BX26" s="21" t="s">
        <v>91</v>
      </c>
      <c r="BY26" s="16">
        <f>SUMIFS(BY4:BY17,$G$4:$G$17,"x")</f>
        <v>3802.25</v>
      </c>
      <c r="BZ26" s="16">
        <f>SUMIFS(BZ4:BZ17,$G$4:$G$17,"x")</f>
        <v>0</v>
      </c>
      <c r="CA26" s="16">
        <f>SUMIFS(CA4:CA17,$G$4:$G$17,"x")</f>
        <v>0</v>
      </c>
      <c r="CB26" s="16">
        <f>SUMIFS(CB4:CB17,$G$4:$G$17,"x")</f>
        <v>0</v>
      </c>
      <c r="CC26" s="16">
        <f>SUMIFS(CC4:CC17,$G$4:$G$17,"x")</f>
        <v>0</v>
      </c>
      <c r="CD26" s="71">
        <f>SUM(BY26:CC26)/'Homes - Inputs'!$D$28</f>
        <v>4.5395663697796031</v>
      </c>
      <c r="CF26" s="21" t="s">
        <v>91</v>
      </c>
      <c r="CG26" s="16">
        <f>SUMIFS(CG4:CG17,$G$4:$G$17,"x")</f>
        <v>2341.0700000000002</v>
      </c>
      <c r="CH26" s="16">
        <f>SUMIFS(CH4:CH17,$G$4:$G$17,"x")</f>
        <v>0</v>
      </c>
      <c r="CI26" s="16">
        <f>SUMIFS(CI4:CI17,$G$4:$G$17,"x")</f>
        <v>0</v>
      </c>
      <c r="CJ26" s="16">
        <f>SUMIFS(CJ4:CJ17,$G$4:$G$17,"x")</f>
        <v>0</v>
      </c>
      <c r="CK26" s="16">
        <f>SUMIFS(CK4:CK17,$G$4:$G$17,"x")</f>
        <v>0</v>
      </c>
      <c r="CL26" s="71">
        <f>SUM(CG26:CK26)/'Homes - Inputs'!$D$28</f>
        <v>2.7950404737457917</v>
      </c>
      <c r="CN26" s="21" t="s">
        <v>91</v>
      </c>
      <c r="CO26" s="16">
        <f>SUMIFS(CO4:CO17,$G$4:$G$17,"x")</f>
        <v>1971.62</v>
      </c>
      <c r="CP26" s="16">
        <f>SUMIFS(CP4:CP17,$G$4:$G$17,"x")</f>
        <v>0</v>
      </c>
      <c r="CQ26" s="16">
        <f>SUMIFS(CQ4:CQ17,$G$4:$G$17,"x")</f>
        <v>0</v>
      </c>
      <c r="CR26" s="16">
        <f>SUMIFS(CR4:CR17,$G$4:$G$17,"x")</f>
        <v>0</v>
      </c>
      <c r="CS26" s="16">
        <f>SUMIFS(CS4:CS17,$G$4:$G$17,"x")</f>
        <v>0</v>
      </c>
      <c r="CT26" s="71">
        <f>SUM(CO26:CS26)/'Homes - Inputs'!$D$28</f>
        <v>2.3539482795673248</v>
      </c>
      <c r="CV26" s="21" t="s">
        <v>91</v>
      </c>
      <c r="CW26" s="16">
        <f>SUMIFS(CW4:CW17,$G$4:$G$17,"x")</f>
        <v>4034.15</v>
      </c>
      <c r="CX26" s="16">
        <f>SUMIFS(CX4:CX17,$G$4:$G$17,"x")</f>
        <v>0</v>
      </c>
      <c r="CY26" s="16">
        <f>SUMIFS(CY4:CY17,$G$4:$G$17,"x")</f>
        <v>0</v>
      </c>
      <c r="CZ26" s="16">
        <f>SUMIFS(CZ4:CZ17,$G$4:$G$17,"x")</f>
        <v>0</v>
      </c>
      <c r="DA26" s="16">
        <f>SUMIFS(DA4:DA17,$G$4:$G$17,"x")</f>
        <v>0</v>
      </c>
      <c r="DB26" s="71">
        <f>SUM(CW26:DA26)/'Homes - Inputs'!$D$28</f>
        <v>4.81643544497242</v>
      </c>
      <c r="DD26" s="21" t="s">
        <v>91</v>
      </c>
      <c r="DE26" s="16">
        <f>SUMIFS(DE4:DE17,$G$4:$G$17,"x")</f>
        <v>2332.6799999999998</v>
      </c>
      <c r="DF26" s="16">
        <f>SUMIFS(DF4:DF17,$G$4:$G$17,"x")</f>
        <v>0</v>
      </c>
      <c r="DG26" s="16">
        <f>SUMIFS(DG4:DG17,$G$4:$G$17,"x")</f>
        <v>0</v>
      </c>
      <c r="DH26" s="16">
        <f>SUMIFS(DH4:DH17,$G$4:$G$17,"x")</f>
        <v>0</v>
      </c>
      <c r="DI26" s="16">
        <f>SUMIFS(DI4:DI17,$G$4:$G$17,"x")</f>
        <v>0</v>
      </c>
      <c r="DJ26" s="71">
        <f>SUM(DE26:DI26)/'Homes - Inputs'!$D$28</f>
        <v>2.7850235201413591</v>
      </c>
      <c r="DL26" s="21" t="s">
        <v>91</v>
      </c>
      <c r="DM26" s="16">
        <f>SUMIFS(DM4:DM17,$G$4:$G$17,"x")</f>
        <v>1971.62</v>
      </c>
      <c r="DN26" s="16">
        <f>SUMIFS(DN4:DN17,$G$4:$G$17,"x")</f>
        <v>0</v>
      </c>
      <c r="DO26" s="16">
        <f>SUMIFS(DO4:DO17,$G$4:$G$17,"x")</f>
        <v>0</v>
      </c>
      <c r="DP26" s="16">
        <f>SUMIFS(DP4:DP17,$G$4:$G$17,"x")</f>
        <v>0</v>
      </c>
      <c r="DQ26" s="16">
        <f>SUMIFS(DQ4:DQ17,$G$4:$G$17,"x")</f>
        <v>0</v>
      </c>
      <c r="DR26" s="71">
        <f>SUM(DM26:DQ26)/'Homes - Inputs'!$D$28</f>
        <v>2.3539482795673248</v>
      </c>
    </row>
    <row r="27" spans="2:122" x14ac:dyDescent="0.3">
      <c r="B27" s="197" t="s">
        <v>103</v>
      </c>
      <c r="C27" s="202">
        <f t="shared" ca="1" si="10"/>
        <v>1.1222808567539816E-3</v>
      </c>
      <c r="D27" s="69">
        <f t="shared" ca="1" si="2"/>
        <v>9.3125432794479335E-4</v>
      </c>
      <c r="E27" s="203">
        <f t="shared" ca="1" si="3"/>
        <v>8.2380190548962478E-4</v>
      </c>
      <c r="F27" s="207">
        <f t="shared" ca="1" si="4"/>
        <v>0</v>
      </c>
      <c r="G27" s="202">
        <f t="shared" ca="1" si="4"/>
        <v>1.1222808567539816E-3</v>
      </c>
      <c r="H27" s="69">
        <f t="shared" ca="1" si="4"/>
        <v>9.3125432794479335E-4</v>
      </c>
      <c r="I27" s="648">
        <f t="shared" ca="1" si="4"/>
        <v>8.2380190548962478E-4</v>
      </c>
      <c r="J27" s="202">
        <f t="shared" ca="1" si="5"/>
        <v>0.34387163017264016</v>
      </c>
      <c r="K27" s="69">
        <f t="shared" ca="1" si="5"/>
        <v>0.2645717424007259</v>
      </c>
      <c r="L27" s="203">
        <f t="shared" ca="1" si="5"/>
        <v>0.21075001790873707</v>
      </c>
      <c r="M27" s="202">
        <f t="shared" ca="1" si="1"/>
        <v>0.30066381718761193</v>
      </c>
      <c r="N27" s="69">
        <f t="shared" ca="1" si="1"/>
        <v>0.24201867284319109</v>
      </c>
      <c r="O27" s="203">
        <f t="shared" ca="1" si="1"/>
        <v>0.21075001790873707</v>
      </c>
      <c r="Q27" s="21" t="s">
        <v>103</v>
      </c>
      <c r="R27" s="16">
        <f>SUMIFS(R4:R17,$H$4:$H$17,"x")</f>
        <v>0.94</v>
      </c>
      <c r="S27" s="16">
        <f>SUMIFS(S4:S17,$H$4:$H$17,"x")</f>
        <v>0</v>
      </c>
      <c r="T27" s="16">
        <f>SUMIFS(T4:T17,$H$4:$H$17,"x")</f>
        <v>0</v>
      </c>
      <c r="U27" s="16">
        <f>SUMIFS(U4:U17,$H$4:$H$17,"x")</f>
        <v>0</v>
      </c>
      <c r="V27" s="16">
        <f>SUMIFS(V4:V17,$H$4:$H$17,"x")</f>
        <v>0</v>
      </c>
      <c r="W27" s="71">
        <f>SUM(R27:V27)/'Homes - Inputs'!$D$28</f>
        <v>1.1222808567539816E-3</v>
      </c>
      <c r="X27" s="165">
        <f t="shared" si="6"/>
        <v>9.3523404729498463E-6</v>
      </c>
      <c r="Z27" s="21" t="s">
        <v>103</v>
      </c>
      <c r="AA27" s="16">
        <f>SUMIFS(AA4:AA17,$H$4:$H$17,"x")</f>
        <v>0.78</v>
      </c>
      <c r="AB27" s="16">
        <f>SUMIFS(AB4:AB17,$H$4:$H$17,"x")</f>
        <v>0</v>
      </c>
      <c r="AC27" s="16">
        <f>SUMIFS(AC4:AC17,$H$4:$H$17,"x")</f>
        <v>0</v>
      </c>
      <c r="AD27" s="16">
        <f>SUMIFS(AD4:AD17,$H$4:$H$17,"x")</f>
        <v>0</v>
      </c>
      <c r="AE27" s="16">
        <f>SUMIFS(AE4:AE17,$H$4:$H$17,"x")</f>
        <v>0</v>
      </c>
      <c r="AF27" s="71">
        <f>SUM(AA27:AE27)/'Homes - Inputs'!$D$28</f>
        <v>9.3125432794479335E-4</v>
      </c>
      <c r="AG27" s="165">
        <f t="shared" si="7"/>
        <v>9.0725514492179633E-6</v>
      </c>
      <c r="AI27" s="21" t="s">
        <v>103</v>
      </c>
      <c r="AJ27" s="16">
        <f>SUMIFS(AJ4:AJ17,$H$4:$H$17,"x")</f>
        <v>0.69</v>
      </c>
      <c r="AK27" s="16">
        <f>SUMIFS(AK4:AK17,$H$4:$H$17,"x")</f>
        <v>0</v>
      </c>
      <c r="AL27" s="16">
        <f>SUMIFS(AL4:AL17,$H$4:$H$17,"x")</f>
        <v>0</v>
      </c>
      <c r="AM27" s="16">
        <f>SUMIFS(AM4:AM17,$H$4:$H$17,"x")</f>
        <v>0</v>
      </c>
      <c r="AN27" s="16">
        <f>SUMIFS(AN4:AN17,$H$4:$H$17,"x")</f>
        <v>0</v>
      </c>
      <c r="AO27" s="71">
        <f>SUM(AJ27:AN27)/'Homes - Inputs'!$D$28</f>
        <v>8.2380190548962478E-4</v>
      </c>
      <c r="AP27" s="165">
        <f t="shared" si="8"/>
        <v>1.014774976590318E-5</v>
      </c>
      <c r="AR27" s="21" t="s">
        <v>103</v>
      </c>
      <c r="AS27" s="16">
        <f>SUMIFS(AS4:AS17,$H$4:$H$17,"x")</f>
        <v>0</v>
      </c>
      <c r="AT27" s="16">
        <f>SUMIFS(AT4:AT17,$H$4:$H$17,"x")</f>
        <v>0</v>
      </c>
      <c r="AU27" s="16">
        <f>SUMIFS(AU4:AU17,$H$4:$H$17,"x")</f>
        <v>0</v>
      </c>
      <c r="AV27" s="16">
        <f>SUMIFS(AV4:AV17,$H$4:$H$17,"x")</f>
        <v>0</v>
      </c>
      <c r="AW27" s="16">
        <f>SUMIFS(AW4:AW17,$H$4:$H$17,"x")</f>
        <v>0</v>
      </c>
      <c r="AX27" s="71">
        <f>SUM(AS27:AW27)/'Homes - Inputs'!$E$28</f>
        <v>0</v>
      </c>
      <c r="AY27" s="165">
        <f t="shared" si="9"/>
        <v>0</v>
      </c>
      <c r="AZ27" s="21" t="s">
        <v>103</v>
      </c>
      <c r="BA27" s="16">
        <f>SUMIFS(BA4:BA17,$H$4:$H$17,"x")</f>
        <v>0.94</v>
      </c>
      <c r="BB27" s="16">
        <f>SUMIFS(BB4:BB17,$H$4:$H$17,"x")</f>
        <v>0</v>
      </c>
      <c r="BC27" s="16">
        <f>SUMIFS(BC4:BC17,$H$4:$H$17,"x")</f>
        <v>0</v>
      </c>
      <c r="BD27" s="16">
        <f>SUMIFS(BD4:BD17,$H$4:$H$17,"x")</f>
        <v>0</v>
      </c>
      <c r="BE27" s="16">
        <f>SUMIFS(BE4:BE17,$H$4:$H$17,"x")</f>
        <v>0</v>
      </c>
      <c r="BF27" s="71">
        <f>SUM(BA27:BE27)/'Homes - Inputs'!$D$28</f>
        <v>1.1222808567539816E-3</v>
      </c>
      <c r="BH27" s="21" t="s">
        <v>103</v>
      </c>
      <c r="BI27" s="16">
        <f>SUMIFS(BI4:BI17,$H$4:$H$17,"x")</f>
        <v>0.78</v>
      </c>
      <c r="BJ27" s="16">
        <f>SUMIFS(BJ4:BJ17,$H$4:$H$17,"x")</f>
        <v>0</v>
      </c>
      <c r="BK27" s="16">
        <f>SUMIFS(BK4:BK17,$H$4:$H$17,"x")</f>
        <v>0</v>
      </c>
      <c r="BL27" s="16">
        <f>SUMIFS(BL4:BL17,$H$4:$H$17,"x")</f>
        <v>0</v>
      </c>
      <c r="BM27" s="16">
        <f>SUMIFS(BM4:BM17,$H$4:$H$17,"x")</f>
        <v>0</v>
      </c>
      <c r="BN27" s="577">
        <f>SUM(BI27:BM27)/'Homes - Inputs'!$D$28</f>
        <v>9.3125432794479335E-4</v>
      </c>
      <c r="BO27" s="178"/>
      <c r="BP27" s="21" t="s">
        <v>103</v>
      </c>
      <c r="BQ27" s="16">
        <f>SUMIFS(BQ4:BQ17,$H$4:$H$17,"x")</f>
        <v>0.69</v>
      </c>
      <c r="BR27" s="16">
        <f>SUMIFS(BR4:BR17,$H$4:$H$17,"x")</f>
        <v>0</v>
      </c>
      <c r="BS27" s="16">
        <f>SUMIFS(BS4:BS17,$H$4:$H$17,"x")</f>
        <v>0</v>
      </c>
      <c r="BT27" s="16">
        <f>SUMIFS(BT4:BT17,$H$4:$H$17,"x")</f>
        <v>0</v>
      </c>
      <c r="BU27" s="16">
        <f>SUMIFS(BU4:BU17,$H$4:$H$17,"x")</f>
        <v>0</v>
      </c>
      <c r="BV27" s="71">
        <f>SUM(BQ27:BU27)/'Homes - Inputs'!$D$28</f>
        <v>8.2380190548962478E-4</v>
      </c>
      <c r="BX27" s="21" t="s">
        <v>103</v>
      </c>
      <c r="BY27" s="16">
        <f>SUMIFS(BY4:BY17,$H$4:$H$17,"x")</f>
        <v>288.02</v>
      </c>
      <c r="BZ27" s="16">
        <f>SUMIFS(BZ4:BZ17,$H$4:$H$17,"x")</f>
        <v>0</v>
      </c>
      <c r="CA27" s="16">
        <f>SUMIFS(CA4:CA17,$H$4:$H$17,"x")</f>
        <v>0</v>
      </c>
      <c r="CB27" s="16">
        <f>SUMIFS(CB4:CB17,$H$4:$H$17,"x")</f>
        <v>0</v>
      </c>
      <c r="CC27" s="16">
        <f>SUMIFS(CC4:CC17,$H$4:$H$17,"x")</f>
        <v>0</v>
      </c>
      <c r="CD27" s="71">
        <f>SUM(BY27:CC27)/'Homes - Inputs'!$D$28</f>
        <v>0.34387163017264016</v>
      </c>
      <c r="CF27" s="21" t="s">
        <v>103</v>
      </c>
      <c r="CG27" s="16">
        <f>SUMIFS(CG4:CG17,$H$4:$H$17,"x")</f>
        <v>221.6</v>
      </c>
      <c r="CH27" s="16">
        <f>SUMIFS(CH4:CH17,$H$4:$H$17,"x")</f>
        <v>0</v>
      </c>
      <c r="CI27" s="16">
        <f>SUMIFS(CI4:CI17,$H$4:$H$17,"x")</f>
        <v>0</v>
      </c>
      <c r="CJ27" s="16">
        <f>SUMIFS(CJ4:CJ17,$H$4:$H$17,"x")</f>
        <v>0</v>
      </c>
      <c r="CK27" s="16">
        <f>SUMIFS(CK4:CK17,$H$4:$H$17,"x")</f>
        <v>0</v>
      </c>
      <c r="CL27" s="71">
        <f>SUM(CG27:CK27)/'Homes - Inputs'!$D$28</f>
        <v>0.2645717424007259</v>
      </c>
      <c r="CN27" s="21" t="s">
        <v>103</v>
      </c>
      <c r="CO27" s="16">
        <f>SUMIFS(CO4:CO17,$H$4:$H$17,"x")</f>
        <v>176.52</v>
      </c>
      <c r="CP27" s="16">
        <f>SUMIFS(CP4:CP17,$H$4:$H$17,"x")</f>
        <v>0</v>
      </c>
      <c r="CQ27" s="16">
        <f>SUMIFS(CQ4:CQ17,$H$4:$H$17,"x")</f>
        <v>0</v>
      </c>
      <c r="CR27" s="16">
        <f>SUMIFS(CR4:CR17,$H$4:$H$17,"x")</f>
        <v>0</v>
      </c>
      <c r="CS27" s="16">
        <f>SUMIFS(CS4:CS17,$H$4:$H$17,"x")</f>
        <v>0</v>
      </c>
      <c r="CT27" s="71">
        <f>SUM(CO27:CS27)/'Homes - Inputs'!$D$28</f>
        <v>0.21075001790873707</v>
      </c>
      <c r="CV27" s="21" t="s">
        <v>103</v>
      </c>
      <c r="CW27" s="16">
        <f>SUMIFS(CW4:CW17,$H$4:$H$17,"x")</f>
        <v>251.83</v>
      </c>
      <c r="CX27" s="16">
        <f>SUMIFS(CX4:CX17,$H$4:$H$17,"x")</f>
        <v>0</v>
      </c>
      <c r="CY27" s="16">
        <f>SUMIFS(CY4:CY17,$H$4:$H$17,"x")</f>
        <v>0</v>
      </c>
      <c r="CZ27" s="16">
        <f>SUMIFS(CZ4:CZ17,$H$4:$H$17,"x")</f>
        <v>0</v>
      </c>
      <c r="DA27" s="16">
        <f>SUMIFS(DA4:DA17,$H$4:$H$17,"x")</f>
        <v>0</v>
      </c>
      <c r="DB27" s="71">
        <f>SUM(CW27:DA27)/'Homes - Inputs'!$D$28</f>
        <v>0.30066381718761193</v>
      </c>
      <c r="DD27" s="21" t="s">
        <v>103</v>
      </c>
      <c r="DE27" s="16">
        <f>SUMIFS(DE4:DE17,$H$4:$H$17,"x")</f>
        <v>202.71</v>
      </c>
      <c r="DF27" s="16">
        <f>SUMIFS(DF4:DF17,$H$4:$H$17,"x")</f>
        <v>0</v>
      </c>
      <c r="DG27" s="16">
        <f>SUMIFS(DG4:DG17,$H$4:$H$17,"x")</f>
        <v>0</v>
      </c>
      <c r="DH27" s="16">
        <f>SUMIFS(DH4:DH17,$H$4:$H$17,"x")</f>
        <v>0</v>
      </c>
      <c r="DI27" s="16">
        <f>SUMIFS(DI4:DI17,$H$4:$H$17,"x")</f>
        <v>0</v>
      </c>
      <c r="DJ27" s="71">
        <f>SUM(DE27:DI27)/'Homes - Inputs'!$D$28</f>
        <v>0.24201867284319109</v>
      </c>
      <c r="DL27" s="21" t="s">
        <v>103</v>
      </c>
      <c r="DM27" s="16">
        <f>SUMIFS(DM4:DM17,$H$4:$H$17,"x")</f>
        <v>176.52</v>
      </c>
      <c r="DN27" s="16">
        <f>SUMIFS(DN4:DN17,$H$4:$H$17,"x")</f>
        <v>0</v>
      </c>
      <c r="DO27" s="16">
        <f>SUMIFS(DO4:DO17,$H$4:$H$17,"x")</f>
        <v>0</v>
      </c>
      <c r="DP27" s="16">
        <f>SUMIFS(DP4:DP17,$H$4:$H$17,"x")</f>
        <v>0</v>
      </c>
      <c r="DQ27" s="16">
        <f>SUMIFS(DQ4:DQ17,$H$4:$H$17,"x")</f>
        <v>0</v>
      </c>
      <c r="DR27" s="71">
        <f>SUM(DM27:DQ27)/'Homes - Inputs'!$D$28</f>
        <v>0.21075001790873707</v>
      </c>
    </row>
    <row r="28" spans="2:122" x14ac:dyDescent="0.3">
      <c r="B28" s="197" t="s">
        <v>102</v>
      </c>
      <c r="C28" s="202">
        <f t="shared" ca="1" si="10"/>
        <v>8.9136321306621458</v>
      </c>
      <c r="D28" s="69">
        <f t="shared" ca="1" si="2"/>
        <v>6.975823204947587</v>
      </c>
      <c r="E28" s="203">
        <f t="shared" ca="1" si="3"/>
        <v>4.9633826022588883</v>
      </c>
      <c r="F28" s="207">
        <f t="shared" ca="1" si="4"/>
        <v>2.5471939419436267</v>
      </c>
      <c r="G28" s="202">
        <f t="shared" ca="1" si="4"/>
        <v>7.1969602903603231</v>
      </c>
      <c r="H28" s="69">
        <f t="shared" ca="1" si="4"/>
        <v>6.2174837030492611</v>
      </c>
      <c r="I28" s="648">
        <f t="shared" ca="1" si="4"/>
        <v>4.9633826022588883</v>
      </c>
      <c r="J28" s="202">
        <f t="shared" ca="1" si="5"/>
        <v>2.9604097519042956</v>
      </c>
      <c r="K28" s="69">
        <f t="shared" ca="1" si="5"/>
        <v>2.5669428591895698</v>
      </c>
      <c r="L28" s="203">
        <f t="shared" ca="1" si="5"/>
        <v>1.5617015688053677</v>
      </c>
      <c r="M28" s="202">
        <f t="shared" ca="1" si="1"/>
        <v>2.0937940256453116</v>
      </c>
      <c r="N28" s="69">
        <f t="shared" ca="1" si="1"/>
        <v>2.1052197998997109</v>
      </c>
      <c r="O28" s="203">
        <f t="shared" ca="1" si="1"/>
        <v>1.5617015688053677</v>
      </c>
      <c r="Q28" s="21" t="s">
        <v>102</v>
      </c>
      <c r="R28" s="16">
        <f>SUMIFS(R4:R17,$I$4:$I$17,"x")</f>
        <v>7465.88</v>
      </c>
      <c r="S28" s="16">
        <f>SUMIFS(S4:S17,$I$4:$I$17,"x")</f>
        <v>0</v>
      </c>
      <c r="T28" s="16">
        <f>SUMIFS(T4:T17,$I$4:$I$17,"x")</f>
        <v>0</v>
      </c>
      <c r="U28" s="16">
        <f>SUMIFS(U4:U17,$I$4:$I$17,"x")</f>
        <v>0</v>
      </c>
      <c r="V28" s="16">
        <f>SUMIFS(V4:V17,$I$4:$I$17,"x")</f>
        <v>0</v>
      </c>
      <c r="W28" s="71">
        <f>SUM(R28:V28)/'Homes - Inputs'!$D$28</f>
        <v>8.9136321306621458</v>
      </c>
      <c r="X28" s="165">
        <f t="shared" si="6"/>
        <v>7.4280267755517881E-2</v>
      </c>
      <c r="Z28" s="21" t="s">
        <v>102</v>
      </c>
      <c r="AA28" s="16">
        <f>SUMIFS(AA4:AA17,$I$4:$I$17,"x")</f>
        <v>5842.81</v>
      </c>
      <c r="AB28" s="16">
        <f>SUMIFS(AB4:AB17,$I$4:$I$17,"x")</f>
        <v>0</v>
      </c>
      <c r="AC28" s="16">
        <f>SUMIFS(AC4:AC17,$I$4:$I$17,"x")</f>
        <v>0</v>
      </c>
      <c r="AD28" s="16">
        <f>SUMIFS(AD4:AD17,$I$4:$I$17,"x")</f>
        <v>0</v>
      </c>
      <c r="AE28" s="16">
        <f>SUMIFS(AE4:AE17,$I$4:$I$17,"x")</f>
        <v>0</v>
      </c>
      <c r="AF28" s="71">
        <f>SUM(AA28:AE28)/'Homes - Inputs'!$D$28</f>
        <v>6.975823204947587</v>
      </c>
      <c r="AG28" s="165">
        <f t="shared" si="7"/>
        <v>6.7960505555134887E-2</v>
      </c>
      <c r="AI28" s="21" t="s">
        <v>102</v>
      </c>
      <c r="AJ28" s="16">
        <f>SUMIFS(AJ4:AJ17,$I$4:$I$17,"x")</f>
        <v>4157.2299999999996</v>
      </c>
      <c r="AK28" s="16">
        <f>SUMIFS(AK4:AK17,$I$4:$I$17,"x")</f>
        <v>0</v>
      </c>
      <c r="AL28" s="16">
        <f>SUMIFS(AL4:AL17,$I$4:$I$17,"x")</f>
        <v>0</v>
      </c>
      <c r="AM28" s="16">
        <f>SUMIFS(AM4:AM17,$I$4:$I$17,"x")</f>
        <v>0</v>
      </c>
      <c r="AN28" s="16">
        <f>SUMIFS(AN4:AN17,$I$4:$I$17,"x")</f>
        <v>0</v>
      </c>
      <c r="AO28" s="71">
        <f>SUM(AJ28:AN28)/'Homes - Inputs'!$D$28</f>
        <v>4.9633826022588883</v>
      </c>
      <c r="AP28" s="165">
        <f t="shared" si="8"/>
        <v>6.1139898201892279E-2</v>
      </c>
      <c r="AR28" s="21" t="s">
        <v>102</v>
      </c>
      <c r="AS28" s="16">
        <f>SUMIFS(AS4:AS17,$I$4:$I$17,"x")</f>
        <v>6054.68</v>
      </c>
      <c r="AT28" s="16">
        <f>SUMIFS(AT4:AT17,$I$4:$I$17,"x")</f>
        <v>0</v>
      </c>
      <c r="AU28" s="16">
        <f>SUMIFS(AU4:AU17,$I$4:$I$17,"x")</f>
        <v>0</v>
      </c>
      <c r="AV28" s="16">
        <f>SUMIFS(AV4:AV17,$I$4:$I$17,"x")</f>
        <v>0</v>
      </c>
      <c r="AW28" s="16">
        <f>SUMIFS(AW4:AW17,$I$4:$I$17,"x")</f>
        <v>0</v>
      </c>
      <c r="AX28" s="71">
        <f>SUM(AS28:AW28)/'Homes - Inputs'!$E$28</f>
        <v>2.5471939419436267</v>
      </c>
      <c r="AY28" s="165">
        <f t="shared" si="9"/>
        <v>2.8202650034033615E-2</v>
      </c>
      <c r="AZ28" s="21" t="s">
        <v>102</v>
      </c>
      <c r="BA28" s="16">
        <f>SUMIFS(BA4:BA17,$I$4:$I$17,"x")</f>
        <v>6028.03</v>
      </c>
      <c r="BB28" s="16">
        <f>SUMIFS(BB4:BB17,$I$4:$I$17,"x")</f>
        <v>0</v>
      </c>
      <c r="BC28" s="16">
        <f>SUMIFS(BC4:BC17,$I$4:$I$17,"x")</f>
        <v>0</v>
      </c>
      <c r="BD28" s="16">
        <f>SUMIFS(BD4:BD17,$I$4:$I$17,"x")</f>
        <v>0</v>
      </c>
      <c r="BE28" s="16">
        <f>SUMIFS(BE4:BE17,$I$4:$I$17,"x")</f>
        <v>0</v>
      </c>
      <c r="BF28" s="71">
        <f>SUM(BA28:BE28)/'Homes - Inputs'!$D$28</f>
        <v>7.1969602903603231</v>
      </c>
      <c r="BH28" s="21" t="s">
        <v>102</v>
      </c>
      <c r="BI28" s="16">
        <f>SUMIFS(BI4:BI17,$I$4:$I$17,"x")</f>
        <v>5207.6400000000003</v>
      </c>
      <c r="BJ28" s="16">
        <f>SUMIFS(BJ4:BJ17,$I$4:$I$17,"x")</f>
        <v>0</v>
      </c>
      <c r="BK28" s="16">
        <f>SUMIFS(BK4:BK17,$I$4:$I$17,"x")</f>
        <v>0</v>
      </c>
      <c r="BL28" s="16">
        <f>SUMIFS(BL4:BL17,$I$4:$I$17,"x")</f>
        <v>0</v>
      </c>
      <c r="BM28" s="16">
        <f>SUMIFS(BM4:BM17,$I$4:$I$17,"x")</f>
        <v>0</v>
      </c>
      <c r="BN28" s="577">
        <f>SUM(BI28:BM28)/'Homes - Inputs'!$D$28</f>
        <v>6.2174837030492611</v>
      </c>
      <c r="BO28" s="178"/>
      <c r="BP28" s="21" t="s">
        <v>102</v>
      </c>
      <c r="BQ28" s="16">
        <f>SUMIFS(BQ4:BQ17,$I$4:$I$17,"x")</f>
        <v>4157.2299999999996</v>
      </c>
      <c r="BR28" s="16">
        <f>SUMIFS(BR4:BR17,$I$4:$I$17,"x")</f>
        <v>0</v>
      </c>
      <c r="BS28" s="16">
        <f>SUMIFS(BS4:BS17,$I$4:$I$17,"x")</f>
        <v>0</v>
      </c>
      <c r="BT28" s="16">
        <f>SUMIFS(BT4:BT17,$I$4:$I$17,"x")</f>
        <v>0</v>
      </c>
      <c r="BU28" s="16">
        <f>SUMIFS(BU4:BU17,$I$4:$I$17,"x")</f>
        <v>0</v>
      </c>
      <c r="BV28" s="71">
        <f>SUM(BQ28:BU28)/'Homes - Inputs'!$D$28</f>
        <v>4.9633826022588883</v>
      </c>
      <c r="BX28" s="21" t="s">
        <v>102</v>
      </c>
      <c r="BY28" s="16">
        <f>SUMIFS(BY4:BY17,$I$4:$I$17,"x")</f>
        <v>2479.58</v>
      </c>
      <c r="BZ28" s="16">
        <f>SUMIFS(BZ4:BZ17,$I$4:$I$17,"x")</f>
        <v>0</v>
      </c>
      <c r="CA28" s="16">
        <f>SUMIFS(CA4:CA17,$I$4:$I$17,"x")</f>
        <v>0</v>
      </c>
      <c r="CB28" s="16">
        <f>SUMIFS(CB4:CB17,$I$4:$I$17,"x")</f>
        <v>0</v>
      </c>
      <c r="CC28" s="16">
        <f>SUMIFS(CC4:CC17,$I$4:$I$17,"x")</f>
        <v>0</v>
      </c>
      <c r="CD28" s="71">
        <f>SUM(BY28:CC28)/'Homes - Inputs'!$D$28</f>
        <v>2.9604097519042956</v>
      </c>
      <c r="CF28" s="21" t="s">
        <v>102</v>
      </c>
      <c r="CG28" s="16">
        <f>SUMIFS(CG4:CG17,$I$4:$I$17,"x")</f>
        <v>2150.02</v>
      </c>
      <c r="CH28" s="16">
        <f>SUMIFS(CH4:CH17,$I$4:$I$17,"x")</f>
        <v>0</v>
      </c>
      <c r="CI28" s="16">
        <f>SUMIFS(CI4:CI17,$I$4:$I$17,"x")</f>
        <v>0</v>
      </c>
      <c r="CJ28" s="16">
        <f>SUMIFS(CJ4:CJ17,$I$4:$I$17,"x")</f>
        <v>0</v>
      </c>
      <c r="CK28" s="16">
        <f>SUMIFS(CK4:CK17,$I$4:$I$17,"x")</f>
        <v>0</v>
      </c>
      <c r="CL28" s="71">
        <f>SUM(CG28:CK28)/'Homes - Inputs'!$D$28</f>
        <v>2.5669428591895698</v>
      </c>
      <c r="CN28" s="21" t="s">
        <v>102</v>
      </c>
      <c r="CO28" s="16">
        <f>SUMIFS(CO4:CO17,$I$4:$I$17,"x")</f>
        <v>1308.05</v>
      </c>
      <c r="CP28" s="16">
        <f>SUMIFS(CP4:CP17,$I$4:$I$17,"x")</f>
        <v>0</v>
      </c>
      <c r="CQ28" s="16">
        <f>SUMIFS(CQ4:CQ17,$I$4:$I$17,"x")</f>
        <v>0</v>
      </c>
      <c r="CR28" s="16">
        <f>SUMIFS(CR4:CR17,$I$4:$I$17,"x")</f>
        <v>0</v>
      </c>
      <c r="CS28" s="16">
        <f>SUMIFS(CS4:CS17,$I$4:$I$17,"x")</f>
        <v>0</v>
      </c>
      <c r="CT28" s="71">
        <f>SUM(CO28:CS28)/'Homes - Inputs'!$D$28</f>
        <v>1.5617015688053677</v>
      </c>
      <c r="CV28" s="21" t="s">
        <v>102</v>
      </c>
      <c r="CW28" s="16">
        <f>SUMIFS(CW4:CW17,$I$4:$I$17,"x")</f>
        <v>1753.72</v>
      </c>
      <c r="CX28" s="16">
        <f>SUMIFS(CX4:CX17,$I$4:$I$17,"x")</f>
        <v>0</v>
      </c>
      <c r="CY28" s="16">
        <f>SUMIFS(CY4:CY17,$I$4:$I$17,"x")</f>
        <v>0</v>
      </c>
      <c r="CZ28" s="16">
        <f>SUMIFS(CZ4:CZ17,$I$4:$I$17,"x")</f>
        <v>0</v>
      </c>
      <c r="DA28" s="16">
        <f>SUMIFS(DA4:DA17,$I$4:$I$17,"x")</f>
        <v>0</v>
      </c>
      <c r="DB28" s="71">
        <f>SUM(CW28:DA28)/'Homes - Inputs'!$D$28</f>
        <v>2.0937940256453116</v>
      </c>
      <c r="DD28" s="21" t="s">
        <v>102</v>
      </c>
      <c r="DE28" s="16">
        <f>SUMIFS(DE4:DE17,$I$4:$I$17,"x")</f>
        <v>1763.29</v>
      </c>
      <c r="DF28" s="16">
        <f>SUMIFS(DF4:DF17,$I$4:$I$17,"x")</f>
        <v>0</v>
      </c>
      <c r="DG28" s="16">
        <f>SUMIFS(DG4:DG17,$I$4:$I$17,"x")</f>
        <v>0</v>
      </c>
      <c r="DH28" s="16">
        <f>SUMIFS(DH4:DH17,$I$4:$I$17,"x")</f>
        <v>0</v>
      </c>
      <c r="DI28" s="16">
        <f>SUMIFS(DI4:DI17,$I$4:$I$17,"x")</f>
        <v>0</v>
      </c>
      <c r="DJ28" s="71">
        <f>SUM(DE28:DI28)/'Homes - Inputs'!$D$28</f>
        <v>2.1052197998997109</v>
      </c>
      <c r="DL28" s="21" t="s">
        <v>102</v>
      </c>
      <c r="DM28" s="16">
        <f>SUMIFS(DM4:DM17,$I$4:$I$17,"x")</f>
        <v>1308.05</v>
      </c>
      <c r="DN28" s="16">
        <f>SUMIFS(DN4:DN17,$I$4:$I$17,"x")</f>
        <v>0</v>
      </c>
      <c r="DO28" s="16">
        <f>SUMIFS(DO4:DO17,$I$4:$I$17,"x")</f>
        <v>0</v>
      </c>
      <c r="DP28" s="16">
        <f>SUMIFS(DP4:DP17,$I$4:$I$17,"x")</f>
        <v>0</v>
      </c>
      <c r="DQ28" s="16">
        <f>SUMIFS(DQ4:DQ17,$I$4:$I$17,"x")</f>
        <v>0</v>
      </c>
      <c r="DR28" s="71">
        <f>SUM(DM28:DQ28)/'Homes - Inputs'!$D$28</f>
        <v>1.5617015688053677</v>
      </c>
    </row>
    <row r="29" spans="2:122" x14ac:dyDescent="0.3">
      <c r="B29" s="197" t="s">
        <v>117</v>
      </c>
      <c r="C29" s="202">
        <f t="shared" ca="1" si="10"/>
        <v>10.878924998209127</v>
      </c>
      <c r="D29" s="69">
        <f t="shared" ca="1" si="2"/>
        <v>9.6701568805367835</v>
      </c>
      <c r="E29" s="203">
        <f t="shared" ca="1" si="3"/>
        <v>8.4613887628644431</v>
      </c>
      <c r="F29" s="207">
        <f t="shared" ca="1" si="4"/>
        <v>14.756933108960874</v>
      </c>
      <c r="G29" s="202">
        <f t="shared" ca="1" si="4"/>
        <v>10.878924998209127</v>
      </c>
      <c r="H29" s="69">
        <f t="shared" ca="1" si="4"/>
        <v>9.6701568805367835</v>
      </c>
      <c r="I29" s="648">
        <f t="shared" ca="1" si="4"/>
        <v>8.4613887628644431</v>
      </c>
      <c r="J29" s="202">
        <f t="shared" ca="1" si="5"/>
        <v>10.878924998209127</v>
      </c>
      <c r="K29" s="69">
        <f t="shared" ca="1" si="5"/>
        <v>9.6701568805367835</v>
      </c>
      <c r="L29" s="203">
        <f t="shared" ca="1" si="5"/>
        <v>8.4613887628644431</v>
      </c>
      <c r="M29" s="202">
        <f t="shared" ca="1" si="1"/>
        <v>10.878924998209127</v>
      </c>
      <c r="N29" s="69">
        <f t="shared" ca="1" si="1"/>
        <v>9.6701568805367835</v>
      </c>
      <c r="O29" s="203">
        <f t="shared" ca="1" si="1"/>
        <v>8.4613887628644431</v>
      </c>
      <c r="Q29" s="21" t="s">
        <v>117</v>
      </c>
      <c r="R29" s="16">
        <f>SUMIFS(R4:R17,$J$4:$J$17,"x")</f>
        <v>7087.09</v>
      </c>
      <c r="S29" s="16">
        <f>SUMIFS(S4:S17,$J$4:$J$17,"x")</f>
        <v>2024.88</v>
      </c>
      <c r="T29" s="16">
        <f>SUMIFS(T4:T17,$J$4:$J$17,"x")</f>
        <v>0</v>
      </c>
      <c r="U29" s="16">
        <f>SUMIFS(U4:U17,$J$4:$J$17,"x")</f>
        <v>0</v>
      </c>
      <c r="V29" s="16">
        <f>SUMIFS(V4:V17,$J$4:$J$17,"x")</f>
        <v>0</v>
      </c>
      <c r="W29" s="71">
        <f>SUM(R29:V29)/'Homes - Inputs'!$D$28</f>
        <v>10.878924998209127</v>
      </c>
      <c r="X29" s="165">
        <f t="shared" si="6"/>
        <v>9.06577083184094E-2</v>
      </c>
      <c r="Z29" s="21" t="s">
        <v>117</v>
      </c>
      <c r="AA29" s="16">
        <f>SUMIFS(AA4:AA17,$J$4:$J$17,"x")</f>
        <v>6074.65</v>
      </c>
      <c r="AB29" s="16">
        <f>SUMIFS(AB4:AB17,$J$4:$J$17,"x")</f>
        <v>2024.88</v>
      </c>
      <c r="AC29" s="16">
        <f>SUMIFS(AC4:AC17,$J$4:$J$17,"x")</f>
        <v>0</v>
      </c>
      <c r="AD29" s="16">
        <f>SUMIFS(AD4:AD17,$J$4:$J$17,"x")</f>
        <v>0</v>
      </c>
      <c r="AE29" s="16">
        <f>SUMIFS(AE4:AE17,$J$4:$J$17,"x")</f>
        <v>0</v>
      </c>
      <c r="AF29" s="71">
        <f>SUM(AA29:AE29)/'Homes - Inputs'!$D$28</f>
        <v>9.6701568805367835</v>
      </c>
      <c r="AG29" s="165">
        <f t="shared" si="7"/>
        <v>9.4209490563441495E-2</v>
      </c>
      <c r="AI29" s="21" t="s">
        <v>117</v>
      </c>
      <c r="AJ29" s="16">
        <f>SUMIFS(AJ4:AJ17,$J$4:$J$17,"x")</f>
        <v>5062.21</v>
      </c>
      <c r="AK29" s="16">
        <f>SUMIFS(AK4:AK17,$J$4:$J$17,"x")</f>
        <v>2024.88</v>
      </c>
      <c r="AL29" s="16">
        <f>SUMIFS(AL4:AL17,$J$4:$J$17,"x")</f>
        <v>0</v>
      </c>
      <c r="AM29" s="16">
        <f>SUMIFS(AM4:AM17,$J$4:$J$17,"x")</f>
        <v>0</v>
      </c>
      <c r="AN29" s="16">
        <f>SUMIFS(AN4:AN17,$J$4:$J$17,"x")</f>
        <v>0</v>
      </c>
      <c r="AO29" s="71">
        <f>SUM(AJ29:AN29)/'Homes - Inputs'!$D$28</f>
        <v>8.4613887628644431</v>
      </c>
      <c r="AP29" s="165">
        <f t="shared" si="8"/>
        <v>0.10422900853396344</v>
      </c>
      <c r="AR29" s="21" t="s">
        <v>117</v>
      </c>
      <c r="AS29" s="16">
        <f>SUMIFS(AS4:AS17,$J$4:$J$17,"x")</f>
        <v>24063.37</v>
      </c>
      <c r="AT29" s="16">
        <f>SUMIFS(AT4:AT17,$J$4:$J$17,"x")</f>
        <v>11013.86</v>
      </c>
      <c r="AU29" s="16">
        <f>SUMIFS(AU4:AU17,$J$4:$J$17,"x")</f>
        <v>0</v>
      </c>
      <c r="AV29" s="16">
        <f>SUMIFS(AV4:AV17,$J$4:$J$17,"x")</f>
        <v>0</v>
      </c>
      <c r="AW29" s="16">
        <f>SUMIFS(AW4:AW17,$J$4:$J$17,"x")</f>
        <v>0</v>
      </c>
      <c r="AX29" s="71">
        <f>SUM(AS29:AW29)/'Homes - Inputs'!$E$28</f>
        <v>14.756933108960874</v>
      </c>
      <c r="AY29" s="175">
        <f t="shared" si="9"/>
        <v>0.16338945111109171</v>
      </c>
      <c r="AZ29" s="21" t="s">
        <v>117</v>
      </c>
      <c r="BA29" s="16">
        <f>SUMIFS(BA4:BA17,$J$4:$J$17,"x")</f>
        <v>7087.09</v>
      </c>
      <c r="BB29" s="16">
        <f>SUMIFS(BB4:BB17,$J$4:$J$17,"x")</f>
        <v>2024.88</v>
      </c>
      <c r="BC29" s="16">
        <f>SUMIFS(BC4:BC17,$J$4:$J$17,"x")</f>
        <v>0</v>
      </c>
      <c r="BD29" s="16">
        <f>SUMIFS(BD4:BD17,$J$4:$J$17,"x")</f>
        <v>0</v>
      </c>
      <c r="BE29" s="16">
        <f>SUMIFS(BE4:BE17,$J$4:$J$17,"x")</f>
        <v>0</v>
      </c>
      <c r="BF29" s="71">
        <f>SUM(BA29:BE29)/'Homes - Inputs'!$D$28</f>
        <v>10.878924998209127</v>
      </c>
      <c r="BH29" s="21" t="s">
        <v>117</v>
      </c>
      <c r="BI29" s="16">
        <f>SUMIFS(BI4:BI17,$J$4:$J$17,"x")</f>
        <v>6074.65</v>
      </c>
      <c r="BJ29" s="16">
        <f>SUMIFS(BJ4:BJ17,$J$4:$J$17,"x")</f>
        <v>2024.88</v>
      </c>
      <c r="BK29" s="16">
        <f>SUMIFS(BK4:BK17,$J$4:$J$17,"x")</f>
        <v>0</v>
      </c>
      <c r="BL29" s="16">
        <f>SUMIFS(BL4:BL17,$J$4:$J$17,"x")</f>
        <v>0</v>
      </c>
      <c r="BM29" s="16">
        <f>SUMIFS(BM4:BM17,$J$4:$J$17,"x")</f>
        <v>0</v>
      </c>
      <c r="BN29" s="577">
        <f>SUM(BI29:BM29)/'Homes - Inputs'!$D$28</f>
        <v>9.6701568805367835</v>
      </c>
      <c r="BO29" s="178"/>
      <c r="BP29" s="21" t="s">
        <v>117</v>
      </c>
      <c r="BQ29" s="16">
        <f>SUMIFS(BQ4:BQ17,$J$4:$J$17,"x")</f>
        <v>5062.21</v>
      </c>
      <c r="BR29" s="16">
        <f>SUMIFS(BR4:BR17,$J$4:$J$17,"x")</f>
        <v>2024.88</v>
      </c>
      <c r="BS29" s="16">
        <f>SUMIFS(BS4:BS17,$J$4:$J$17,"x")</f>
        <v>0</v>
      </c>
      <c r="BT29" s="16">
        <f>SUMIFS(BT4:BT17,$J$4:$J$17,"x")</f>
        <v>0</v>
      </c>
      <c r="BU29" s="16">
        <f>SUMIFS(BU4:BU17,$J$4:$J$17,"x")</f>
        <v>0</v>
      </c>
      <c r="BV29" s="71">
        <f>SUM(BQ29:BU29)/'Homes - Inputs'!$D$28</f>
        <v>8.4613887628644431</v>
      </c>
      <c r="BX29" s="21" t="s">
        <v>117</v>
      </c>
      <c r="BY29" s="16">
        <f>SUMIFS(BY4:BY17,$J$4:$J$17,"x")</f>
        <v>7087.09</v>
      </c>
      <c r="BZ29" s="16">
        <f>SUMIFS(BZ4:BZ17,$J$4:$J$17,"x")</f>
        <v>2024.88</v>
      </c>
      <c r="CA29" s="16">
        <f>SUMIFS(CA4:CA17,$J$4:$J$17,"x")</f>
        <v>0</v>
      </c>
      <c r="CB29" s="16">
        <f>SUMIFS(CB4:CB17,$J$4:$J$17,"x")</f>
        <v>0</v>
      </c>
      <c r="CC29" s="16">
        <f>SUMIFS(CC4:CC17,$J$4:$J$17,"x")</f>
        <v>0</v>
      </c>
      <c r="CD29" s="71">
        <f>SUM(BY29:CC29)/'Homes - Inputs'!$D$28</f>
        <v>10.878924998209127</v>
      </c>
      <c r="CF29" s="21" t="s">
        <v>117</v>
      </c>
      <c r="CG29" s="16">
        <f>SUMIFS(CG4:CG17,$J$4:$J$17,"x")</f>
        <v>6074.65</v>
      </c>
      <c r="CH29" s="16">
        <f>SUMIFS(CH4:CH17,$J$4:$J$17,"x")</f>
        <v>2024.88</v>
      </c>
      <c r="CI29" s="16">
        <f>SUMIFS(CI4:CI17,$J$4:$J$17,"x")</f>
        <v>0</v>
      </c>
      <c r="CJ29" s="16">
        <f>SUMIFS(CJ4:CJ17,$J$4:$J$17,"x")</f>
        <v>0</v>
      </c>
      <c r="CK29" s="16">
        <f>SUMIFS(CK4:CK17,$J$4:$J$17,"x")</f>
        <v>0</v>
      </c>
      <c r="CL29" s="71">
        <f>SUM(CG29:CK29)/'Homes - Inputs'!$D$28</f>
        <v>9.6701568805367835</v>
      </c>
      <c r="CN29" s="21" t="s">
        <v>117</v>
      </c>
      <c r="CO29" s="16">
        <f>SUMIFS(CO4:CO17,$J$4:$J$17,"x")</f>
        <v>5062.21</v>
      </c>
      <c r="CP29" s="16">
        <f>SUMIFS(CP4:CP17,$J$4:$J$17,"x")</f>
        <v>2024.88</v>
      </c>
      <c r="CQ29" s="16">
        <f>SUMIFS(CQ4:CQ17,$J$4:$J$17,"x")</f>
        <v>0</v>
      </c>
      <c r="CR29" s="16">
        <f>SUMIFS(CR4:CR17,$J$4:$J$17,"x")</f>
        <v>0</v>
      </c>
      <c r="CS29" s="16">
        <f>SUMIFS(CS4:CS17,$J$4:$J$17,"x")</f>
        <v>0</v>
      </c>
      <c r="CT29" s="71">
        <f>SUM(CO29:CS29)/'Homes - Inputs'!$D$28</f>
        <v>8.4613887628644431</v>
      </c>
      <c r="CV29" s="21" t="s">
        <v>117</v>
      </c>
      <c r="CW29" s="16">
        <f>SUMIFS(CW4:CW17,$J$4:$J$17,"x")</f>
        <v>7087.09</v>
      </c>
      <c r="CX29" s="16">
        <f>SUMIFS(CX4:CX17,$J$4:$J$17,"x")</f>
        <v>2024.88</v>
      </c>
      <c r="CY29" s="16">
        <f>SUMIFS(CY4:CY17,$J$4:$J$17,"x")</f>
        <v>0</v>
      </c>
      <c r="CZ29" s="16">
        <f>SUMIFS(CZ4:CZ17,$J$4:$J$17,"x")</f>
        <v>0</v>
      </c>
      <c r="DA29" s="16">
        <f>SUMIFS(DA4:DA17,$J$4:$J$17,"x")</f>
        <v>0</v>
      </c>
      <c r="DB29" s="71">
        <f>SUM(CW29:DA29)/'Homes - Inputs'!$D$28</f>
        <v>10.878924998209127</v>
      </c>
      <c r="DD29" s="21" t="s">
        <v>117</v>
      </c>
      <c r="DE29" s="16">
        <f>SUMIFS(DE4:DE17,$J$4:$J$17,"x")</f>
        <v>6074.65</v>
      </c>
      <c r="DF29" s="16">
        <f>SUMIFS(DF4:DF17,$J$4:$J$17,"x")</f>
        <v>2024.88</v>
      </c>
      <c r="DG29" s="16">
        <f>SUMIFS(DG4:DG17,$J$4:$J$17,"x")</f>
        <v>0</v>
      </c>
      <c r="DH29" s="16">
        <f>SUMIFS(DH4:DH17,$J$4:$J$17,"x")</f>
        <v>0</v>
      </c>
      <c r="DI29" s="16">
        <f>SUMIFS(DI4:DI17,$J$4:$J$17,"x")</f>
        <v>0</v>
      </c>
      <c r="DJ29" s="71">
        <f>SUM(DE29:DI29)/'Homes - Inputs'!$D$28</f>
        <v>9.6701568805367835</v>
      </c>
      <c r="DL29" s="21" t="s">
        <v>117</v>
      </c>
      <c r="DM29" s="16">
        <f>SUMIFS(DM4:DM17,$J$4:$J$17,"x")</f>
        <v>5062.21</v>
      </c>
      <c r="DN29" s="16">
        <f>SUMIFS(DN4:DN17,$J$4:$J$17,"x")</f>
        <v>2024.88</v>
      </c>
      <c r="DO29" s="16">
        <f>SUMIFS(DO4:DO17,$J$4:$J$17,"x")</f>
        <v>0</v>
      </c>
      <c r="DP29" s="16">
        <f>SUMIFS(DP4:DP17,$J$4:$J$17,"x")</f>
        <v>0</v>
      </c>
      <c r="DQ29" s="16">
        <f>SUMIFS(DQ4:DQ17,$J$4:$J$17,"x")</f>
        <v>0</v>
      </c>
      <c r="DR29" s="71">
        <f>SUM(DM29:DQ29)/'Homes - Inputs'!$D$28</f>
        <v>8.4613887628644431</v>
      </c>
    </row>
    <row r="30" spans="2:122" x14ac:dyDescent="0.3">
      <c r="B30" s="197" t="s">
        <v>95</v>
      </c>
      <c r="C30" s="202">
        <f t="shared" ca="1" si="10"/>
        <v>9.4609231357004688</v>
      </c>
      <c r="D30" s="69">
        <f t="shared" ca="1" si="2"/>
        <v>7.8836648439552039</v>
      </c>
      <c r="E30" s="203">
        <f t="shared" ca="1" si="3"/>
        <v>6.9372239069700798</v>
      </c>
      <c r="F30" s="207">
        <f t="shared" ca="1" si="4"/>
        <v>8.6546739587715606</v>
      </c>
      <c r="G30" s="202">
        <f t="shared" ca="1" si="4"/>
        <v>9.4599918813725257</v>
      </c>
      <c r="H30" s="69">
        <f t="shared" ca="1" si="4"/>
        <v>7.8833305475297877</v>
      </c>
      <c r="I30" s="648">
        <f t="shared" ca="1" si="4"/>
        <v>6.9372239069700798</v>
      </c>
      <c r="J30" s="202">
        <f t="shared" ca="1" si="5"/>
        <v>9.4638840468970127</v>
      </c>
      <c r="K30" s="69">
        <f t="shared" ca="1" si="5"/>
        <v>7.8839394445903679</v>
      </c>
      <c r="L30" s="203">
        <f t="shared" ca="1" si="5"/>
        <v>6.9377253516082042</v>
      </c>
      <c r="M30" s="202">
        <f t="shared" ca="1" si="1"/>
        <v>9.472826476276893</v>
      </c>
      <c r="N30" s="69">
        <f t="shared" ca="1" si="1"/>
        <v>7.8839991403806193</v>
      </c>
      <c r="O30" s="203">
        <f t="shared" ca="1" si="1"/>
        <v>6.9377253516082042</v>
      </c>
      <c r="Q30" s="21" t="s">
        <v>95</v>
      </c>
      <c r="R30" s="16">
        <f>SUMIFS(R4:R17,$K$4:$K$17,"x")</f>
        <v>0</v>
      </c>
      <c r="S30" s="16">
        <f>SUMIFS(S4:S17,$K$4:$K$17,"x")</f>
        <v>7924.28</v>
      </c>
      <c r="T30" s="16">
        <f>SUMIFS(T4:T17,$K$4:$K$17,"x")</f>
        <v>0</v>
      </c>
      <c r="U30" s="16">
        <f>SUMIFS(U4:U17,$K$4:$K$17,"x")</f>
        <v>0</v>
      </c>
      <c r="V30" s="16">
        <f>SUMIFS(V4:V17,$K$4:$K$17,"x")</f>
        <v>0</v>
      </c>
      <c r="W30" s="577">
        <f>SUM(R30:V30)/'Homes - Inputs'!$D$28</f>
        <v>9.4609231357004688</v>
      </c>
      <c r="X30" s="165">
        <f t="shared" si="6"/>
        <v>7.8841026130837238E-2</v>
      </c>
      <c r="Z30" s="21" t="s">
        <v>95</v>
      </c>
      <c r="AA30" s="16">
        <f>SUMIFS(AA4:AA17,$K$4:$K$17,"x")</f>
        <v>0</v>
      </c>
      <c r="AB30" s="16">
        <f>SUMIFS(AB4:AB17,$K$4:$K$17,"x")</f>
        <v>6603.2</v>
      </c>
      <c r="AC30" s="16">
        <f>SUMIFS(AC4:AC17,$K$4:$K$17,"x")</f>
        <v>0</v>
      </c>
      <c r="AD30" s="16">
        <f>SUMIFS(AD4:AD17,$K$4:$K$17,"x")</f>
        <v>0</v>
      </c>
      <c r="AE30" s="16">
        <f>SUMIFS(AE4:AE17,$K$4:$K$17,"x")</f>
        <v>0</v>
      </c>
      <c r="AF30" s="577">
        <f>SUM(AA30:AE30)/'Homes - Inputs'!$D$28</f>
        <v>7.8836648439552039</v>
      </c>
      <c r="AG30" s="165">
        <f t="shared" si="7"/>
        <v>7.6804963755738531E-2</v>
      </c>
      <c r="AI30" s="21" t="s">
        <v>95</v>
      </c>
      <c r="AJ30" s="16">
        <f>SUMIFS(AJ4:AJ17,$K$4:$K$17,"x")</f>
        <v>0</v>
      </c>
      <c r="AK30" s="16">
        <f>SUMIFS(AK4:AK17,$K$4:$K$17,"x")</f>
        <v>5810.48</v>
      </c>
      <c r="AL30" s="16">
        <f>SUMIFS(AL4:AL17,$K$4:$K$17,"x")</f>
        <v>0</v>
      </c>
      <c r="AM30" s="16">
        <f>SUMIFS(AM4:AM17,$K$4:$K$17,"x")</f>
        <v>0</v>
      </c>
      <c r="AN30" s="16">
        <f>SUMIFS(AN4:AN17,$K$4:$K$17,"x")</f>
        <v>0</v>
      </c>
      <c r="AO30" s="577">
        <f>SUM(AJ30:AN30)/'Homes - Inputs'!$D$28</f>
        <v>6.9372239069700798</v>
      </c>
      <c r="AP30" s="165">
        <f t="shared" si="8"/>
        <v>8.5454053709833486E-2</v>
      </c>
      <c r="AR30" s="21" t="s">
        <v>95</v>
      </c>
      <c r="AS30" s="16">
        <f>SUMIFS(AS4:AS17,$K$4:$K$17,"x")</f>
        <v>0</v>
      </c>
      <c r="AT30" s="16">
        <f>SUMIFS(AT4:AT17,$K$4:$K$17,"x")</f>
        <v>20572.16</v>
      </c>
      <c r="AU30" s="16">
        <f>SUMIFS(AU4:AU17,$K$4:$K$17,"x")</f>
        <v>0</v>
      </c>
      <c r="AV30" s="16">
        <f>SUMIFS(AV4:AV17,$K$4:$K$17,"x")</f>
        <v>0</v>
      </c>
      <c r="AW30" s="16">
        <f>SUMIFS(AW4:AW17,$K$4:$K$17,"x")</f>
        <v>0</v>
      </c>
      <c r="AX30" s="71">
        <f>SUM(AS30:AW30)/'Homes - Inputs'!$E$28</f>
        <v>8.6546739587715606</v>
      </c>
      <c r="AY30" s="175">
        <f t="shared" si="9"/>
        <v>9.5824953411930106E-2</v>
      </c>
      <c r="AZ30" s="21" t="s">
        <v>95</v>
      </c>
      <c r="BA30" s="16">
        <f>SUMIFS(BA4:BA17,$K$4:$K$17,"x")</f>
        <v>0</v>
      </c>
      <c r="BB30" s="16">
        <f>SUMIFS(BB4:BB17,$K$4:$K$17,"x")</f>
        <v>7923.5</v>
      </c>
      <c r="BC30" s="16">
        <f>SUMIFS(BC4:BC17,$K$4:$K$17,"x")</f>
        <v>0</v>
      </c>
      <c r="BD30" s="16">
        <f>SUMIFS(BD4:BD17,$K$4:$K$17,"x")</f>
        <v>0</v>
      </c>
      <c r="BE30" s="16">
        <f>SUMIFS(BE4:BE17,$K$4:$K$17,"x")</f>
        <v>0</v>
      </c>
      <c r="BF30" s="577">
        <f>SUM(BA30:BE30)/'Homes - Inputs'!$D$28</f>
        <v>9.4599918813725257</v>
      </c>
      <c r="BG30" s="172"/>
      <c r="BH30" s="21" t="s">
        <v>95</v>
      </c>
      <c r="BI30" s="16">
        <f>SUMIFS(BI4:BI17,$K$4:$K$17,"x")</f>
        <v>0</v>
      </c>
      <c r="BJ30" s="16">
        <f>SUMIFS(BJ4:BJ17,$K$4:$K$17,"x")</f>
        <v>6602.92</v>
      </c>
      <c r="BK30" s="16">
        <f>SUMIFS(BK4:BK17,$K$4:$K$17,"x")</f>
        <v>0</v>
      </c>
      <c r="BL30" s="16">
        <f>SUMIFS(BL4:BL17,$K$4:$K$17,"x")</f>
        <v>0</v>
      </c>
      <c r="BM30" s="16">
        <f>SUMIFS(BM4:BM17,$K$4:$K$17,"x")</f>
        <v>0</v>
      </c>
      <c r="BN30" s="577">
        <f>SUM(BI30:BM30)/'Homes - Inputs'!$D$28</f>
        <v>7.8833305475297877</v>
      </c>
      <c r="BO30" s="178"/>
      <c r="BP30" s="21" t="s">
        <v>95</v>
      </c>
      <c r="BQ30" s="16">
        <f>SUMIFS(BQ4:BQ17,$K$4:$K$17,"x")</f>
        <v>0</v>
      </c>
      <c r="BR30" s="16">
        <f>SUMIFS(BR4:BR17,$K$4:$K$17,"x")</f>
        <v>5810.48</v>
      </c>
      <c r="BS30" s="16">
        <f>SUMIFS(BS4:BS17,$K$4:$K$17,"x")</f>
        <v>0</v>
      </c>
      <c r="BT30" s="16">
        <f>SUMIFS(BT4:BT17,$K$4:$K$17,"x")</f>
        <v>0</v>
      </c>
      <c r="BU30" s="16">
        <f>SUMIFS(BU4:BU17,$K$4:$K$17,"x")</f>
        <v>0</v>
      </c>
      <c r="BV30" s="577">
        <f>SUM(BQ30:BU30)/'Homes - Inputs'!$D$28</f>
        <v>6.9372239069700798</v>
      </c>
      <c r="BX30" s="21" t="s">
        <v>95</v>
      </c>
      <c r="BY30" s="16">
        <f>SUMIFS(BY4:BY17,$K$4:$K$17,"x")</f>
        <v>0</v>
      </c>
      <c r="BZ30" s="16">
        <f>SUMIFS(BZ4:BZ17,$K$4:$K$17,"x")</f>
        <v>7926.76</v>
      </c>
      <c r="CA30" s="16">
        <f>SUMIFS(CA4:CA17,$K$4:$K$17,"x")</f>
        <v>0</v>
      </c>
      <c r="CB30" s="16">
        <f>SUMIFS(CB4:CB17,$K$4:$K$17,"x")</f>
        <v>0</v>
      </c>
      <c r="CC30" s="16">
        <f>SUMIFS(CC4:CC17,$K$4:$K$17,"x")</f>
        <v>0</v>
      </c>
      <c r="CD30" s="71">
        <f>SUM(BY30:CC30)/'Homes - Inputs'!$D$28</f>
        <v>9.4638840468970127</v>
      </c>
      <c r="CF30" s="21" t="s">
        <v>95</v>
      </c>
      <c r="CG30" s="16">
        <f>SUMIFS(CG4:CG17,$K$4:$K$17,"x")</f>
        <v>0</v>
      </c>
      <c r="CH30" s="16">
        <f>SUMIFS(CH4:CH17,$K$4:$K$17,"x")</f>
        <v>6603.43</v>
      </c>
      <c r="CI30" s="16">
        <f>SUMIFS(CI4:CI17,$K$4:$K$17,"x")</f>
        <v>0</v>
      </c>
      <c r="CJ30" s="16">
        <f>SUMIFS(CJ4:CJ17,$K$4:$K$17,"x")</f>
        <v>0</v>
      </c>
      <c r="CK30" s="16">
        <f>SUMIFS(CK4:CK17,$K$4:$K$17,"x")</f>
        <v>0</v>
      </c>
      <c r="CL30" s="71">
        <f>SUM(CG30:CK30)/'Homes - Inputs'!$D$28</f>
        <v>7.8839394445903679</v>
      </c>
      <c r="CN30" s="21" t="s">
        <v>95</v>
      </c>
      <c r="CO30" s="16">
        <f>SUMIFS(CO4:CO17,$K$4:$K$17,"x")</f>
        <v>0</v>
      </c>
      <c r="CP30" s="16">
        <f>SUMIFS(CP4:CP17,$K$4:$K$17,"x")</f>
        <v>5810.9</v>
      </c>
      <c r="CQ30" s="16">
        <f>SUMIFS(CQ4:CQ17,$K$4:$K$17,"x")</f>
        <v>0</v>
      </c>
      <c r="CR30" s="16">
        <f>SUMIFS(CR4:CR17,$K$4:$K$17,"x")</f>
        <v>0</v>
      </c>
      <c r="CS30" s="16">
        <f>SUMIFS(CS4:CS17,$K$4:$K$17,"x")</f>
        <v>0</v>
      </c>
      <c r="CT30" s="71">
        <f>SUM(CO30:CS30)/'Homes - Inputs'!$D$28</f>
        <v>6.9377253516082042</v>
      </c>
      <c r="CV30" s="21" t="s">
        <v>95</v>
      </c>
      <c r="CW30" s="16">
        <f>SUMIFS(CW4:CW17,$K$4:$K$17,"x")</f>
        <v>0</v>
      </c>
      <c r="CX30" s="16">
        <f>SUMIFS(CX4:CX17,$K$4:$K$17,"x")</f>
        <v>7934.25</v>
      </c>
      <c r="CY30" s="16">
        <f>SUMIFS(CY4:CY17,$K$4:$K$17,"x")</f>
        <v>0</v>
      </c>
      <c r="CZ30" s="16">
        <f>SUMIFS(CZ4:CZ17,$K$4:$K$17,"x")</f>
        <v>0</v>
      </c>
      <c r="DA30" s="16">
        <f>SUMIFS(DA4:DA17,$K$4:$K$17,"x")</f>
        <v>0</v>
      </c>
      <c r="DB30" s="71">
        <f>SUM(CW30:DA30)/'Homes - Inputs'!$D$28</f>
        <v>9.472826476276893</v>
      </c>
      <c r="DD30" s="21" t="s">
        <v>95</v>
      </c>
      <c r="DE30" s="16">
        <f>SUMIFS(DE4:DE17,$K$4:$K$17,"x")</f>
        <v>0</v>
      </c>
      <c r="DF30" s="16">
        <f>SUMIFS(DF4:DF17,$K$4:$K$17,"x")</f>
        <v>6603.48</v>
      </c>
      <c r="DG30" s="16">
        <f>SUMIFS(DG4:DG17,$K$4:$K$17,"x")</f>
        <v>0</v>
      </c>
      <c r="DH30" s="16">
        <f>SUMIFS(DH4:DH17,$K$4:$K$17,"x")</f>
        <v>0</v>
      </c>
      <c r="DI30" s="16">
        <f>SUMIFS(DI4:DI17,$K$4:$K$17,"x")</f>
        <v>0</v>
      </c>
      <c r="DJ30" s="71">
        <f>SUM(DE30:DI30)/'Homes - Inputs'!$D$28</f>
        <v>7.8839991403806193</v>
      </c>
      <c r="DL30" s="21" t="s">
        <v>95</v>
      </c>
      <c r="DM30" s="16">
        <f>SUMIFS(DM4:DM17,$K$4:$K$17,"x")</f>
        <v>0</v>
      </c>
      <c r="DN30" s="16">
        <f>SUMIFS(DN4:DN17,$K$4:$K$17,"x")</f>
        <v>5810.9</v>
      </c>
      <c r="DO30" s="16">
        <f>SUMIFS(DO4:DO17,$K$4:$K$17,"x")</f>
        <v>0</v>
      </c>
      <c r="DP30" s="16">
        <f>SUMIFS(DP4:DP17,$K$4:$K$17,"x")</f>
        <v>0</v>
      </c>
      <c r="DQ30" s="16">
        <f>SUMIFS(DQ4:DQ17,$K$4:$K$17,"x")</f>
        <v>0</v>
      </c>
      <c r="DR30" s="71">
        <f>SUM(DM30:DQ30)/'Homes - Inputs'!$D$28</f>
        <v>6.9377253516082042</v>
      </c>
    </row>
    <row r="31" spans="2:122" ht="12.9" thickBot="1" x14ac:dyDescent="0.35">
      <c r="B31" s="198" t="s">
        <v>2</v>
      </c>
      <c r="C31" s="204">
        <f t="shared" ca="1" si="10"/>
        <v>130.14329377492299</v>
      </c>
      <c r="D31" s="100">
        <f ca="1">OFFSET($Q31,0,(7+8*D$22))</f>
        <v>102.64525179684328</v>
      </c>
      <c r="E31" s="205">
        <f t="shared" ca="1" si="3"/>
        <v>81.180746913727631</v>
      </c>
      <c r="F31" s="208">
        <f t="shared" ca="1" si="4"/>
        <v>90.317538914598245</v>
      </c>
      <c r="G31" s="644">
        <f t="shared" ca="1" si="4"/>
        <v>109.06028080899733</v>
      </c>
      <c r="H31" s="645">
        <f t="shared" ca="1" si="4"/>
        <v>93.67047923780413</v>
      </c>
      <c r="I31" s="649">
        <f t="shared" ca="1" si="4"/>
        <v>81.180746913727631</v>
      </c>
      <c r="J31" s="644">
        <f ca="1">OFFSET($Q31,0,(9+8*J$22))</f>
        <v>49.753575777836154</v>
      </c>
      <c r="K31" s="645">
        <f t="shared" ca="1" si="5"/>
        <v>40.1901788485876</v>
      </c>
      <c r="L31" s="646">
        <f t="shared" ca="1" si="5"/>
        <v>32.916569163542583</v>
      </c>
      <c r="M31" s="644">
        <f ca="1">OFFSET($Q31,0,(9+8*M$22))</f>
        <v>44.964301917428784</v>
      </c>
      <c r="N31" s="645">
        <f t="shared" ca="1" si="1"/>
        <v>37.935325580840043</v>
      </c>
      <c r="O31" s="646">
        <f t="shared" ca="1" si="1"/>
        <v>32.916569163542583</v>
      </c>
      <c r="Q31" s="93" t="s">
        <v>118</v>
      </c>
      <c r="R31" s="16">
        <f>SUM(R24:R30)</f>
        <v>25252.74</v>
      </c>
      <c r="S31" s="16">
        <f>SUM(S24:S30)</f>
        <v>83752.680000000008</v>
      </c>
      <c r="T31" s="16">
        <f>SUM(T24:T30)</f>
        <v>0</v>
      </c>
      <c r="U31" s="16">
        <f>SUM(U24:U30)</f>
        <v>0</v>
      </c>
      <c r="V31" s="16">
        <f>SUM(V24:V30)</f>
        <v>0</v>
      </c>
      <c r="W31" s="71">
        <f>SUM(R31:V31)/'Homes - Inputs'!$D$28</f>
        <v>130.14329377492299</v>
      </c>
      <c r="Y31">
        <f>SUM(Y25:Y26)</f>
        <v>120</v>
      </c>
      <c r="Z31" s="93" t="s">
        <v>118</v>
      </c>
      <c r="AA31" s="16">
        <f>SUM(AA24:AA30)</f>
        <v>19616.53</v>
      </c>
      <c r="AB31" s="16">
        <f>SUM(AB24:AB30)</f>
        <v>66357.08</v>
      </c>
      <c r="AC31" s="16">
        <f>SUM(AC24:AC30)</f>
        <v>0</v>
      </c>
      <c r="AD31" s="16">
        <f>SUM(AD24:AD30)</f>
        <v>0</v>
      </c>
      <c r="AE31" s="16">
        <f>SUM(AE24:AE30)</f>
        <v>0</v>
      </c>
      <c r="AF31" s="71">
        <f>SUM(AA31:AE31)/'Homes - Inputs'!$D$28</f>
        <v>102.64525179684328</v>
      </c>
      <c r="AH31">
        <f>AH25+AH26</f>
        <v>88.5</v>
      </c>
      <c r="AI31" s="93" t="s">
        <v>118</v>
      </c>
      <c r="AJ31" s="16">
        <f>SUM(AJ24:AJ30)</f>
        <v>15820.71</v>
      </c>
      <c r="AK31" s="16">
        <f>SUM(AK24:AK30)</f>
        <v>52174.66</v>
      </c>
      <c r="AL31" s="16">
        <f>SUM(AL24:AL30)</f>
        <v>0</v>
      </c>
      <c r="AM31" s="16">
        <f>SUM(AM24:AM30)</f>
        <v>0</v>
      </c>
      <c r="AN31" s="16">
        <f>SUM(AN24:AN30)</f>
        <v>0</v>
      </c>
      <c r="AO31" s="71">
        <f>SUM(AJ31:AN31)/'Homes - Inputs'!$D$28</f>
        <v>81.180746913727631</v>
      </c>
      <c r="AQ31">
        <f>AQ25+AQ26</f>
        <v>66</v>
      </c>
      <c r="AR31" s="93" t="s">
        <v>118</v>
      </c>
      <c r="AS31" s="16">
        <f>SUM(AS24:AS30)</f>
        <v>41586.539999999994</v>
      </c>
      <c r="AT31" s="16">
        <f>SUM(AT24:AT30)</f>
        <v>173098.25000000003</v>
      </c>
      <c r="AU31" s="16">
        <f>SUM(AU24:AU30)</f>
        <v>0</v>
      </c>
      <c r="AV31" s="16">
        <f>SUM(AV24:AV30)</f>
        <v>0</v>
      </c>
      <c r="AW31" s="16">
        <f>SUM(AW24:AW30)</f>
        <v>0</v>
      </c>
      <c r="AX31" s="71">
        <f>SUM(AS31:AW31)/'Homes - Inputs'!$E$28</f>
        <v>90.317538914598245</v>
      </c>
      <c r="AZ31" s="93" t="s">
        <v>118</v>
      </c>
      <c r="BA31" s="16">
        <f>SUM(BA24:BA30)</f>
        <v>23097.41</v>
      </c>
      <c r="BB31" s="16">
        <f>SUM(BB24:BB30)</f>
        <v>68249.299999999988</v>
      </c>
      <c r="BC31" s="16">
        <f>SUM(BC24:BC30)</f>
        <v>0</v>
      </c>
      <c r="BD31" s="16">
        <f>SUM(BD24:BD30)</f>
        <v>0</v>
      </c>
      <c r="BE31" s="16">
        <f>SUM(BE24:BE30)</f>
        <v>0</v>
      </c>
      <c r="BF31" s="71">
        <f>SUM(BA31:BE31)/'Homes - Inputs'!$D$28</f>
        <v>109.06028080899733</v>
      </c>
      <c r="BG31" s="185"/>
      <c r="BH31" s="93" t="s">
        <v>118</v>
      </c>
      <c r="BI31" s="16">
        <f>SUM(BI24:BI30)</f>
        <v>18835.739999999998</v>
      </c>
      <c r="BJ31" s="16">
        <f>SUM(BJ24:BJ30)</f>
        <v>59620.78</v>
      </c>
      <c r="BK31" s="16">
        <f>SUM(BK24:BK30)</f>
        <v>0</v>
      </c>
      <c r="BL31" s="16">
        <f>SUM(BL24:BL30)</f>
        <v>0</v>
      </c>
      <c r="BM31" s="16">
        <f>SUM(BM24:BM30)</f>
        <v>0</v>
      </c>
      <c r="BN31" s="71">
        <f>SUM(BI31:BM31)/'Homes - Inputs'!$D$28</f>
        <v>93.67047923780413</v>
      </c>
      <c r="BO31" s="99"/>
      <c r="BP31" s="93" t="s">
        <v>118</v>
      </c>
      <c r="BQ31" s="16">
        <f>SUM(BQ24:BQ30)</f>
        <v>15820.71</v>
      </c>
      <c r="BR31" s="16">
        <f>SUM(BR24:BR30)</f>
        <v>52174.66</v>
      </c>
      <c r="BS31" s="16">
        <f>SUM(BS24:BS30)</f>
        <v>0</v>
      </c>
      <c r="BT31" s="16">
        <f>SUM(BT24:BT30)</f>
        <v>0</v>
      </c>
      <c r="BU31" s="16">
        <f>SUM(BU24:BU30)</f>
        <v>0</v>
      </c>
      <c r="BV31" s="71">
        <f>SUM(BQ31:BU31)/'Homes - Inputs'!$D$28</f>
        <v>81.180746913727631</v>
      </c>
      <c r="BW31" s="172"/>
      <c r="BX31" s="93" t="s">
        <v>118</v>
      </c>
      <c r="BY31" s="16">
        <f>SUM(BY24:BY30)</f>
        <v>31720.960000000003</v>
      </c>
      <c r="BZ31" s="16">
        <f>SUM(BZ24:BZ30)</f>
        <v>9951.64</v>
      </c>
      <c r="CA31" s="16">
        <f>SUM(CA24:CA30)</f>
        <v>0</v>
      </c>
      <c r="CB31" s="16">
        <f>SUM(CB24:CB30)</f>
        <v>0</v>
      </c>
      <c r="CC31" s="16">
        <f>SUM(CC24:CC30)</f>
        <v>0</v>
      </c>
      <c r="CD31" s="71">
        <f>SUM(BY31:CC31)/'Homes - Inputs'!$D$28</f>
        <v>49.753575777836154</v>
      </c>
      <c r="CE31" s="46"/>
      <c r="CF31" s="93" t="s">
        <v>118</v>
      </c>
      <c r="CG31" s="16">
        <f>SUM(CG24:CG30)</f>
        <v>25034.18</v>
      </c>
      <c r="CH31" s="16">
        <f>SUM(CH24:CH30)</f>
        <v>8628.3100000000013</v>
      </c>
      <c r="CI31" s="16">
        <f>SUM(CI24:CI30)</f>
        <v>0</v>
      </c>
      <c r="CJ31" s="16">
        <f>SUM(CJ24:CJ30)</f>
        <v>0</v>
      </c>
      <c r="CK31" s="16">
        <f>SUM(CK24:CK30)</f>
        <v>0</v>
      </c>
      <c r="CL31" s="71">
        <f>SUM(CG31:CK31)/'Homes - Inputs'!$D$28</f>
        <v>40.1901788485876</v>
      </c>
      <c r="CN31" s="93" t="s">
        <v>118</v>
      </c>
      <c r="CO31" s="16">
        <f>SUM(CO24:CO30)</f>
        <v>19734.48</v>
      </c>
      <c r="CP31" s="16">
        <f>SUM(CP24:CP30)</f>
        <v>7835.78</v>
      </c>
      <c r="CQ31" s="16">
        <f>SUM(CQ24:CQ30)</f>
        <v>0</v>
      </c>
      <c r="CR31" s="16">
        <f>SUM(CR24:CR30)</f>
        <v>0</v>
      </c>
      <c r="CS31" s="16">
        <f>SUM(CS24:CS30)</f>
        <v>0</v>
      </c>
      <c r="CT31" s="71">
        <f>SUM(CO31:CS31)/'Homes - Inputs'!$D$28</f>
        <v>32.916569163542583</v>
      </c>
      <c r="CV31" s="93" t="s">
        <v>118</v>
      </c>
      <c r="CW31" s="16">
        <f>SUM(CW24:CW30)</f>
        <v>27702.070000000003</v>
      </c>
      <c r="CX31" s="16">
        <f>SUM(CX24:CX30)</f>
        <v>9959.130000000001</v>
      </c>
      <c r="CY31" s="16">
        <f>SUM(CY24:CY30)</f>
        <v>0</v>
      </c>
      <c r="CZ31" s="16">
        <f>SUM(CZ24:CZ30)</f>
        <v>0</v>
      </c>
      <c r="DA31" s="16">
        <f>SUM(DA24:DA30)</f>
        <v>0</v>
      </c>
      <c r="DB31" s="71">
        <f>SUM(CW31:DA31)/'Homes - Inputs'!$D$28</f>
        <v>44.964301917428784</v>
      </c>
      <c r="DD31" s="93" t="s">
        <v>118</v>
      </c>
      <c r="DE31" s="16">
        <f>SUM(DE24:DE30)</f>
        <v>23145.510000000002</v>
      </c>
      <c r="DF31" s="16">
        <f>SUM(DF24:DF30)</f>
        <v>8628.36</v>
      </c>
      <c r="DG31" s="16">
        <f>SUM(DG24:DG30)</f>
        <v>0</v>
      </c>
      <c r="DH31" s="16">
        <f>SUM(DH24:DH30)</f>
        <v>0</v>
      </c>
      <c r="DI31" s="16">
        <f>SUM(DI24:DI30)</f>
        <v>0</v>
      </c>
      <c r="DJ31" s="71">
        <f>SUM(DE31:DI31)/'Homes - Inputs'!$D$28</f>
        <v>37.935325580840043</v>
      </c>
      <c r="DL31" s="93" t="s">
        <v>118</v>
      </c>
      <c r="DM31" s="16">
        <f>SUM(DM24:DM30)</f>
        <v>19734.48</v>
      </c>
      <c r="DN31" s="16">
        <f>SUM(DN24:DN30)</f>
        <v>7835.78</v>
      </c>
      <c r="DO31" s="16">
        <f>SUM(DO24:DO30)</f>
        <v>0</v>
      </c>
      <c r="DP31" s="16">
        <f>SUM(DP24:DP30)</f>
        <v>0</v>
      </c>
      <c r="DQ31" s="16">
        <f>SUM(DQ24:DQ30)</f>
        <v>0</v>
      </c>
      <c r="DR31" s="71">
        <f>SUM(DM31:DQ31)/'Homes - Inputs'!$D$28</f>
        <v>32.916569163542583</v>
      </c>
    </row>
    <row r="32" spans="2:122" x14ac:dyDescent="0.3">
      <c r="C32" s="656" t="s">
        <v>119</v>
      </c>
      <c r="D32" s="103">
        <f ca="1">$C$31-D31</f>
        <v>27.498041978079712</v>
      </c>
      <c r="E32" s="104">
        <f t="shared" ref="E32:O32" ca="1" si="11">$C$31-E31</f>
        <v>48.962546861195364</v>
      </c>
      <c r="F32" s="209">
        <f t="shared" ca="1" si="11"/>
        <v>39.82575486032475</v>
      </c>
      <c r="G32" s="211">
        <f t="shared" ca="1" si="11"/>
        <v>21.083012965925661</v>
      </c>
      <c r="H32" s="103">
        <f t="shared" ca="1" si="11"/>
        <v>36.472814537118865</v>
      </c>
      <c r="I32" s="104">
        <f t="shared" ca="1" si="11"/>
        <v>48.962546861195364</v>
      </c>
      <c r="J32" s="650">
        <f t="shared" ca="1" si="11"/>
        <v>80.389717997086848</v>
      </c>
      <c r="K32" s="643">
        <f t="shared" ca="1" si="11"/>
        <v>89.953114926335388</v>
      </c>
      <c r="L32" s="651">
        <f t="shared" ca="1" si="11"/>
        <v>97.226724611380405</v>
      </c>
      <c r="M32" s="650">
        <f t="shared" ca="1" si="11"/>
        <v>85.178991857494211</v>
      </c>
      <c r="N32" s="643">
        <f t="shared" ca="1" si="11"/>
        <v>92.207968194082952</v>
      </c>
      <c r="O32" s="651">
        <f t="shared" ca="1" si="11"/>
        <v>97.226724611380405</v>
      </c>
      <c r="Y32" s="193"/>
      <c r="AH32" s="193"/>
      <c r="AQ32" s="193"/>
      <c r="BN32" s="181"/>
      <c r="BO32" s="181"/>
    </row>
    <row r="33" spans="2:122" ht="12.9" thickBot="1" x14ac:dyDescent="0.35">
      <c r="B33" s="20"/>
      <c r="C33" s="657"/>
      <c r="D33" s="126">
        <f ca="1">1-D31/$C$31</f>
        <v>0.21129050280252126</v>
      </c>
      <c r="E33" s="127">
        <f ca="1">1-E31/$C$31</f>
        <v>0.3762202833583872</v>
      </c>
      <c r="F33" s="210">
        <f t="shared" ref="F33:L33" ca="1" si="12">1-F31/$C$31</f>
        <v>0.30601465281185836</v>
      </c>
      <c r="G33" s="212">
        <f t="shared" ca="1" si="12"/>
        <v>0.16199845842527849</v>
      </c>
      <c r="H33" s="126">
        <f t="shared" ca="1" si="12"/>
        <v>0.28025120218792809</v>
      </c>
      <c r="I33" s="127">
        <f t="shared" ca="1" si="12"/>
        <v>0.3762202833583872</v>
      </c>
      <c r="J33" s="212">
        <f ca="1">1-J31/$C$31</f>
        <v>0.61770157850866492</v>
      </c>
      <c r="K33" s="126">
        <f t="shared" ca="1" si="12"/>
        <v>0.69118517226024179</v>
      </c>
      <c r="L33" s="127">
        <f t="shared" ca="1" si="12"/>
        <v>0.74707441152926157</v>
      </c>
      <c r="M33" s="212">
        <f ca="1">1-M31/$C$31</f>
        <v>0.65450158349924248</v>
      </c>
      <c r="N33" s="126">
        <f t="shared" ref="N33:O33" ca="1" si="13">1-N31/$C$31</f>
        <v>0.70851109972329818</v>
      </c>
      <c r="O33" s="127">
        <f t="shared" ca="1" si="13"/>
        <v>0.74707441152926157</v>
      </c>
      <c r="Y33" s="193"/>
      <c r="AH33" s="193"/>
      <c r="AQ33" s="193"/>
      <c r="BN33" s="181"/>
      <c r="BO33" s="181"/>
      <c r="CE33" s="46"/>
    </row>
    <row r="34" spans="2:122" ht="12.9" thickBot="1" x14ac:dyDescent="0.35">
      <c r="D34" s="20"/>
      <c r="AQ34" s="194"/>
    </row>
    <row r="35" spans="2:122" x14ac:dyDescent="0.3">
      <c r="B35" s="197" t="s">
        <v>89</v>
      </c>
      <c r="C35" s="214">
        <f t="shared" ref="C35:C42" ca="1" si="14">OFFSET($Q35,0,(6+8*C$22))</f>
        <v>138.06258623718887</v>
      </c>
      <c r="D35" s="107">
        <f ca="1">OFFSET($Q35,0,(7+8*D$22))</f>
        <v>138.06258623718887</v>
      </c>
      <c r="E35" s="108">
        <f ca="1">OFFSET($Q35,0,(8+8*E$22))</f>
        <v>138.06258623718887</v>
      </c>
      <c r="F35" s="219">
        <f t="shared" ref="F35:F42" ca="1" si="15">OFFSET($Q35,0,(6+8*F$22))</f>
        <v>0</v>
      </c>
      <c r="G35" s="214">
        <f ca="1">OFFSET($Q35,0,(9+8*G$22))</f>
        <v>138.06258623718887</v>
      </c>
      <c r="H35" s="107">
        <f ca="1">OFFSET($Q35,0,(9+8*H$22))</f>
        <v>138.06258623718887</v>
      </c>
      <c r="I35" s="108">
        <f ca="1">OFFSET($Q35,0,(9+8*I$22))</f>
        <v>138.06258623718887</v>
      </c>
      <c r="J35" s="214">
        <f ca="1">OFFSET($Q35,0,(9+8*J$22))</f>
        <v>138.06258623718887</v>
      </c>
      <c r="K35" s="107">
        <f ca="1">OFFSET($Q35,0,(9+8*K$22))</f>
        <v>138.06258623718887</v>
      </c>
      <c r="L35" s="108">
        <f t="shared" ref="L35:O42" ca="1" si="16">OFFSET($Q35,0,(9+8*L$22))</f>
        <v>138.06258623718887</v>
      </c>
      <c r="M35" s="214">
        <f t="shared" ca="1" si="16"/>
        <v>138.06258623718887</v>
      </c>
      <c r="N35" s="107">
        <f t="shared" ca="1" si="16"/>
        <v>138.06258623718887</v>
      </c>
      <c r="O35" s="108">
        <f t="shared" ca="1" si="16"/>
        <v>138.06258623718887</v>
      </c>
      <c r="Q35" s="21" t="s">
        <v>89</v>
      </c>
      <c r="R35" s="63">
        <f>VLOOKUP(R$23,'Homes - Inputs'!$C$35:$D$39,2,FALSE)*R24</f>
        <v>138.06258623718887</v>
      </c>
      <c r="S35" s="63">
        <f>VLOOKUP(S$23,'Homes - Inputs'!$C$35:$D$39,2,FALSE)*S24</f>
        <v>0</v>
      </c>
      <c r="T35" s="63">
        <f>VLOOKUP(T$23,'Homes - Inputs'!$C$35:$D$39,2,FALSE)*T24</f>
        <v>0</v>
      </c>
      <c r="U35" s="63">
        <f>VLOOKUP(U$23,'Homes - Inputs'!$C$35:$D$39,2,FALSE)*U24</f>
        <v>0</v>
      </c>
      <c r="V35" s="63">
        <f>VLOOKUP(V$23,'Homes - Inputs'!$C$35:$D$39,2,FALSE)*V24</f>
        <v>0</v>
      </c>
      <c r="W35" s="72">
        <f>SUMIF(R35:V35,"&lt;&gt;#N/A")</f>
        <v>138.06258623718887</v>
      </c>
      <c r="X35" s="145"/>
      <c r="Y35" s="145"/>
      <c r="Z35" s="21" t="s">
        <v>89</v>
      </c>
      <c r="AA35" s="63">
        <f>VLOOKUP(AA$23,'Homes - Inputs'!$C$35:$D$39,2,FALSE)*AA24</f>
        <v>138.06258623718887</v>
      </c>
      <c r="AB35" s="63">
        <f>VLOOKUP(AB$23,'Homes - Inputs'!$C$35:$D$39,2,FALSE)*AB24</f>
        <v>0</v>
      </c>
      <c r="AC35" s="63">
        <f>VLOOKUP(AC$23,'Homes - Inputs'!$C$35:$D$39,2,FALSE)*AC24</f>
        <v>0</v>
      </c>
      <c r="AD35" s="63">
        <f>VLOOKUP(AD$23,'Homes - Inputs'!$C$35:$D$39,2,FALSE)*AD24</f>
        <v>0</v>
      </c>
      <c r="AE35" s="63">
        <f>VLOOKUP(AE$23,'Homes - Inputs'!$C$35:$D$39,2,FALSE)*AE24</f>
        <v>0</v>
      </c>
      <c r="AF35" s="72">
        <f>SUMIF(AA35:AE35,"&lt;&gt;#N/A")</f>
        <v>138.06258623718887</v>
      </c>
      <c r="AG35" s="145"/>
      <c r="AH35" s="145"/>
      <c r="AI35" s="21" t="s">
        <v>89</v>
      </c>
      <c r="AJ35" s="63">
        <f>VLOOKUP(AJ$23,'Homes - Inputs'!$C$35:$D$39,2,FALSE)*AJ24</f>
        <v>138.06258623718887</v>
      </c>
      <c r="AK35" s="63">
        <f>VLOOKUP(AK$23,'Homes - Inputs'!$C$35:$D$39,2,FALSE)*AK24</f>
        <v>0</v>
      </c>
      <c r="AL35" s="63">
        <f>VLOOKUP(AL$23,'Homes - Inputs'!$C$35:$D$39,2,FALSE)*AL24</f>
        <v>0</v>
      </c>
      <c r="AM35" s="63">
        <f>VLOOKUP(AM$23,'Homes - Inputs'!$C$35:$D$39,2,FALSE)*AM24</f>
        <v>0</v>
      </c>
      <c r="AN35" s="63">
        <f>VLOOKUP(AN$23,'Homes - Inputs'!$C$35:$D$39,2,FALSE)*AN24</f>
        <v>0</v>
      </c>
      <c r="AO35" s="72">
        <f>SUMIF(AJ35:AN35,"&lt;&gt;#N/A")</f>
        <v>138.06258623718887</v>
      </c>
      <c r="AR35" s="21" t="s">
        <v>89</v>
      </c>
      <c r="AS35" s="63">
        <f>VLOOKUP(AS$23,'Homes - Inputs'!$C$35:$D$39,2,FALSE)*AS24</f>
        <v>393.97149868228399</v>
      </c>
      <c r="AT35" s="63">
        <f>VLOOKUP(AT$23,'Homes - Inputs'!$C$35:$D$39,2,FALSE)*AT24</f>
        <v>0</v>
      </c>
      <c r="AU35" s="63">
        <f>VLOOKUP(AU$23,'Homes - Inputs'!$C$35:$D$39,2,FALSE)*AU24</f>
        <v>0</v>
      </c>
      <c r="AV35" s="63">
        <f>VLOOKUP(AV$23,'Homes - Inputs'!$C$35:$D$39,2,FALSE)*AV24</f>
        <v>0</v>
      </c>
      <c r="AW35" s="63">
        <f>VLOOKUP(AW$23,'Homes - Inputs'!$C$35:$D$39,2,FALSE)*AW24</f>
        <v>0</v>
      </c>
      <c r="AX35" s="72">
        <f>SUMIF(AS35:AW35,"&lt;&gt;#N/A")</f>
        <v>393.97149868228399</v>
      </c>
      <c r="AZ35" s="21" t="s">
        <v>89</v>
      </c>
      <c r="BA35" s="63">
        <f>VLOOKUP(BA$23,'Homes - Inputs'!$C$35:$D$39,2,FALSE)*BA24</f>
        <v>138.06258623718887</v>
      </c>
      <c r="BB35" s="63">
        <f>VLOOKUP(BB$23,'Homes - Inputs'!$C$35:$D$39,2,FALSE)*BB24</f>
        <v>0</v>
      </c>
      <c r="BC35" s="63">
        <f>VLOOKUP(BC$23,'Homes - Inputs'!$C$35:$D$39,2,FALSE)*BC24</f>
        <v>0</v>
      </c>
      <c r="BD35" s="63">
        <f>VLOOKUP(BD$23,'Homes - Inputs'!$C$35:$D$39,2,FALSE)*BD24</f>
        <v>0</v>
      </c>
      <c r="BE35" s="63">
        <f>VLOOKUP(BE$23,'Homes - Inputs'!$C$35:$D$39,2,FALSE)*BE24</f>
        <v>0</v>
      </c>
      <c r="BF35" s="72">
        <f>SUMIF(BA35:BE35,"&lt;&gt;#N/A")</f>
        <v>138.06258623718887</v>
      </c>
      <c r="BH35" s="21" t="s">
        <v>89</v>
      </c>
      <c r="BI35" s="63">
        <f>VLOOKUP(BI$23,'Homes - Inputs'!$C$35:$D$39,2,FALSE)*BI24</f>
        <v>138.06258623718887</v>
      </c>
      <c r="BJ35" s="63">
        <f>VLOOKUP(BJ$23,'Homes - Inputs'!$C$35:$D$39,2,FALSE)*BJ24</f>
        <v>0</v>
      </c>
      <c r="BK35" s="63">
        <f>VLOOKUP(BK$23,'Homes - Inputs'!$C$35:$D$39,2,FALSE)*BK24</f>
        <v>0</v>
      </c>
      <c r="BL35" s="63">
        <f>VLOOKUP(BL$23,'Homes - Inputs'!$C$35:$D$39,2,FALSE)*BL24</f>
        <v>0</v>
      </c>
      <c r="BM35" s="63">
        <f>VLOOKUP(BM$23,'Homes - Inputs'!$C$35:$D$39,2,FALSE)*BM24</f>
        <v>0</v>
      </c>
      <c r="BN35" s="72">
        <f>SUMIF(BI35:BM35,"&lt;&gt;#N/A")</f>
        <v>138.06258623718887</v>
      </c>
      <c r="BP35" s="21" t="s">
        <v>89</v>
      </c>
      <c r="BQ35" s="63">
        <f>VLOOKUP(BQ$23,'Homes - Inputs'!$C$35:$D$39,2,FALSE)*BQ24</f>
        <v>138.06258623718887</v>
      </c>
      <c r="BR35" s="63">
        <f>VLOOKUP(BR$23,'Homes - Inputs'!$C$35:$D$39,2,FALSE)*BR24</f>
        <v>0</v>
      </c>
      <c r="BS35" s="63">
        <f>VLOOKUP(BS$23,'Homes - Inputs'!$C$35:$D$39,2,FALSE)*BS24</f>
        <v>0</v>
      </c>
      <c r="BT35" s="63">
        <f>VLOOKUP(BT$23,'Homes - Inputs'!$C$35:$D$39,2,FALSE)*BT24</f>
        <v>0</v>
      </c>
      <c r="BU35" s="63">
        <f>VLOOKUP(BU$23,'Homes - Inputs'!$C$35:$D$39,2,FALSE)*BU24</f>
        <v>0</v>
      </c>
      <c r="BV35" s="72">
        <f>SUMIF(BQ35:BU35,"&lt;&gt;#N/A")</f>
        <v>138.06258623718887</v>
      </c>
      <c r="BX35" s="21" t="s">
        <v>89</v>
      </c>
      <c r="BY35" s="63">
        <f>VLOOKUP(BY$23,'Homes - Inputs'!$C$35:$D$39,2,FALSE)*BY24</f>
        <v>138.06258623718887</v>
      </c>
      <c r="BZ35" s="63">
        <f>VLOOKUP(BZ$23,'Homes - Inputs'!$C$35:$D$39,2,FALSE)*BZ24</f>
        <v>0</v>
      </c>
      <c r="CA35" s="63">
        <f>VLOOKUP(CA$23,'Homes - Inputs'!$C$35:$D$39,2,FALSE)*CA24</f>
        <v>0</v>
      </c>
      <c r="CB35" s="63">
        <f>VLOOKUP(CB$23,'Homes - Inputs'!$C$35:$D$39,2,FALSE)*CB24</f>
        <v>0</v>
      </c>
      <c r="CC35" s="63">
        <f>VLOOKUP(CC$23,'Homes - Inputs'!$C$35:$D$39,2,FALSE)*CC24</f>
        <v>0</v>
      </c>
      <c r="CD35" s="72">
        <f>SUMIF(BY35:CC35,"&lt;&gt;#N/A")</f>
        <v>138.06258623718887</v>
      </c>
      <c r="CF35" s="21" t="s">
        <v>89</v>
      </c>
      <c r="CG35" s="63">
        <f>VLOOKUP(CG$23,'Homes - Inputs'!$C$35:$D$39,2,FALSE)*CG24</f>
        <v>138.06258623718887</v>
      </c>
      <c r="CH35" s="63">
        <f>VLOOKUP(CH$23,'Homes - Inputs'!$C$35:$D$39,2,FALSE)*CH24</f>
        <v>0</v>
      </c>
      <c r="CI35" s="63">
        <f>VLOOKUP(CI$23,'Homes - Inputs'!$C$35:$D$39,2,FALSE)*CI24</f>
        <v>0</v>
      </c>
      <c r="CJ35" s="63">
        <f>VLOOKUP(CJ$23,'Homes - Inputs'!$C$35:$D$39,2,FALSE)*CJ24</f>
        <v>0</v>
      </c>
      <c r="CK35" s="63">
        <f>VLOOKUP(CK$23,'Homes - Inputs'!$C$35:$D$39,2,FALSE)*CK24</f>
        <v>0</v>
      </c>
      <c r="CL35" s="72">
        <f>SUMIF(CG35:CK35,"&lt;&gt;#N/A")</f>
        <v>138.06258623718887</v>
      </c>
      <c r="CN35" s="21" t="s">
        <v>89</v>
      </c>
      <c r="CO35" s="63">
        <f>VLOOKUP(CO$23,'Homes - Inputs'!$C$35:$D$39,2,FALSE)*CO24</f>
        <v>138.06258623718887</v>
      </c>
      <c r="CP35" s="63">
        <f>VLOOKUP(CP$23,'Homes - Inputs'!$C$35:$D$39,2,FALSE)*CP24</f>
        <v>0</v>
      </c>
      <c r="CQ35" s="63">
        <f>VLOOKUP(CQ$23,'Homes - Inputs'!$C$35:$D$39,2,FALSE)*CQ24</f>
        <v>0</v>
      </c>
      <c r="CR35" s="63">
        <f>VLOOKUP(CR$23,'Homes - Inputs'!$C$35:$D$39,2,FALSE)*CR24</f>
        <v>0</v>
      </c>
      <c r="CS35" s="63">
        <f>VLOOKUP(CS$23,'Homes - Inputs'!$C$35:$D$39,2,FALSE)*CS24</f>
        <v>0</v>
      </c>
      <c r="CT35" s="72">
        <f>SUMIF(CO35:CS35,"&lt;&gt;#N/A")</f>
        <v>138.06258623718887</v>
      </c>
      <c r="CV35" s="21" t="s">
        <v>89</v>
      </c>
      <c r="CW35" s="63">
        <f>VLOOKUP(CW$23,'Homes - Inputs'!$C$35:$D$39,2,FALSE)*CW24</f>
        <v>138.06258623718887</v>
      </c>
      <c r="CX35" s="63">
        <f>VLOOKUP(CX$23,'Homes - Inputs'!$C$35:$D$39,2,FALSE)*CX24</f>
        <v>0</v>
      </c>
      <c r="CY35" s="63">
        <f>VLOOKUP(CY$23,'Homes - Inputs'!$C$35:$D$39,2,FALSE)*CY24</f>
        <v>0</v>
      </c>
      <c r="CZ35" s="63">
        <f>VLOOKUP(CZ$23,'Homes - Inputs'!$C$35:$D$39,2,FALSE)*CZ24</f>
        <v>0</v>
      </c>
      <c r="DA35" s="63">
        <f>VLOOKUP(DA$23,'Homes - Inputs'!$C$35:$D$39,2,FALSE)*DA24</f>
        <v>0</v>
      </c>
      <c r="DB35" s="72">
        <f>SUMIF(CW35:DA35,"&lt;&gt;#N/A")</f>
        <v>138.06258623718887</v>
      </c>
      <c r="DD35" s="21" t="s">
        <v>89</v>
      </c>
      <c r="DE35" s="63">
        <f>VLOOKUP(DE$23,'Homes - Inputs'!$C$35:$D$39,2,FALSE)*DE24</f>
        <v>138.06258623718887</v>
      </c>
      <c r="DF35" s="63">
        <f>VLOOKUP(DF$23,'Homes - Inputs'!$C$35:$D$39,2,FALSE)*DF24</f>
        <v>0</v>
      </c>
      <c r="DG35" s="63">
        <f>VLOOKUP(DG$23,'Homes - Inputs'!$C$35:$D$39,2,FALSE)*DG24</f>
        <v>0</v>
      </c>
      <c r="DH35" s="63">
        <f>VLOOKUP(DH$23,'Homes - Inputs'!$C$35:$D$39,2,FALSE)*DH24</f>
        <v>0</v>
      </c>
      <c r="DI35" s="63">
        <f>VLOOKUP(DI$23,'Homes - Inputs'!$C$35:$D$39,2,FALSE)*DI24</f>
        <v>0</v>
      </c>
      <c r="DJ35" s="72">
        <f>SUMIF(DE35:DI35,"&lt;&gt;#N/A")</f>
        <v>138.06258623718887</v>
      </c>
      <c r="DL35" s="21" t="s">
        <v>89</v>
      </c>
      <c r="DM35" s="63">
        <f>VLOOKUP(DM$23,'Homes - Inputs'!$C$35:$D$39,2,FALSE)*DM24</f>
        <v>138.06258623718887</v>
      </c>
      <c r="DN35" s="63">
        <f>VLOOKUP(DN$23,'Homes - Inputs'!$C$35:$D$39,2,FALSE)*DN24</f>
        <v>0</v>
      </c>
      <c r="DO35" s="63">
        <f>VLOOKUP(DO$23,'Homes - Inputs'!$C$35:$D$39,2,FALSE)*DO24</f>
        <v>0</v>
      </c>
      <c r="DP35" s="63">
        <f>VLOOKUP(DP$23,'Homes - Inputs'!$C$35:$D$39,2,FALSE)*DP24</f>
        <v>0</v>
      </c>
      <c r="DQ35" s="63">
        <f>VLOOKUP(DQ$23,'Homes - Inputs'!$C$35:$D$39,2,FALSE)*DQ24</f>
        <v>0</v>
      </c>
      <c r="DR35" s="72">
        <f>SUMIF(DM35:DQ35,"&lt;&gt;#N/A")</f>
        <v>138.06258623718887</v>
      </c>
    </row>
    <row r="36" spans="2:122" x14ac:dyDescent="0.3">
      <c r="B36" s="197" t="s">
        <v>90</v>
      </c>
      <c r="C36" s="215">
        <f t="shared" ca="1" si="14"/>
        <v>583.03358766859344</v>
      </c>
      <c r="D36" s="63">
        <f t="shared" ref="D36:D42" ca="1" si="17">OFFSET($Q36,0,(7+8*D$22))</f>
        <v>456.0479768786127</v>
      </c>
      <c r="E36" s="216">
        <f t="shared" ref="E36:E42" ca="1" si="18">OFFSET($Q36,0,(8+8*E$22))</f>
        <v>350.27192678227362</v>
      </c>
      <c r="F36" s="219">
        <f t="shared" ca="1" si="15"/>
        <v>0</v>
      </c>
      <c r="G36" s="215">
        <f t="shared" ref="G36:G41" ca="1" si="19">OFFSET($Q36,0,(9+8*G$22))</f>
        <v>460.5660346820809</v>
      </c>
      <c r="H36" s="63">
        <f ca="1">OFFSET($Q36,0,(9+8*H$22))</f>
        <v>402.83471676300582</v>
      </c>
      <c r="I36" s="216">
        <f ca="1">OFFSET($Q36,0,(9+8*I$22))</f>
        <v>350.27192678227362</v>
      </c>
      <c r="J36" s="215">
        <f ca="1">OFFSET($Q36,0,(9+8*J$22))</f>
        <v>900.81692415812574</v>
      </c>
      <c r="K36" s="63">
        <f ca="1">OFFSET($Q36,0,(9+8*K$22))</f>
        <v>681.28715783308917</v>
      </c>
      <c r="L36" s="216">
        <f t="shared" ca="1" si="16"/>
        <v>506.98517715959002</v>
      </c>
      <c r="M36" s="215">
        <f t="shared" ca="1" si="16"/>
        <v>700.17606442166903</v>
      </c>
      <c r="N36" s="63">
        <f t="shared" ca="1" si="16"/>
        <v>596.47801464128827</v>
      </c>
      <c r="O36" s="216">
        <f t="shared" ca="1" si="16"/>
        <v>506.98517715959002</v>
      </c>
      <c r="Q36" s="21" t="s">
        <v>90</v>
      </c>
      <c r="R36" s="63">
        <f>VLOOKUP(R$23,'Homes - Inputs'!$C$35:$D$39,2,FALSE)*R25</f>
        <v>0</v>
      </c>
      <c r="S36" s="63">
        <f>VLOOKUP(S$23,'Homes - Inputs'!$C$35:$D$39,2,FALSE)*S25</f>
        <v>583.03358766859344</v>
      </c>
      <c r="T36" s="63">
        <f>VLOOKUP(T$23,'Homes - Inputs'!$C$35:$D$39,2,FALSE)*T25</f>
        <v>0</v>
      </c>
      <c r="U36" s="63">
        <f>VLOOKUP(U$23,'Homes - Inputs'!$C$35:$D$39,2,FALSE)*U25</f>
        <v>0</v>
      </c>
      <c r="V36" s="63">
        <f>VLOOKUP(V$23,'Homes - Inputs'!$C$35:$D$39,2,FALSE)*V25</f>
        <v>0</v>
      </c>
      <c r="W36" s="72">
        <f t="shared" ref="W36:W42" si="20">SUMIF(R36:V36,"&lt;&gt;#N/A")</f>
        <v>583.03358766859344</v>
      </c>
      <c r="Z36" s="21" t="s">
        <v>90</v>
      </c>
      <c r="AA36" s="63">
        <f>VLOOKUP(AA$23,'Homes - Inputs'!$C$35:$D$39,2,FALSE)*AA25</f>
        <v>0</v>
      </c>
      <c r="AB36" s="63">
        <f>VLOOKUP(AB$23,'Homes - Inputs'!$C$35:$D$39,2,FALSE)*AB25</f>
        <v>456.0479768786127</v>
      </c>
      <c r="AC36" s="63">
        <f>VLOOKUP(AC$23,'Homes - Inputs'!$C$35:$D$39,2,FALSE)*AC25</f>
        <v>0</v>
      </c>
      <c r="AD36" s="63">
        <f>VLOOKUP(AD$23,'Homes - Inputs'!$C$35:$D$39,2,FALSE)*AD25</f>
        <v>0</v>
      </c>
      <c r="AE36" s="63">
        <f>VLOOKUP(AE$23,'Homes - Inputs'!$C$35:$D$39,2,FALSE)*AE25</f>
        <v>0</v>
      </c>
      <c r="AF36" s="72">
        <f t="shared" ref="AF36:AF42" si="21">SUMIF(AA36:AE36,"&lt;&gt;#N/A")</f>
        <v>456.0479768786127</v>
      </c>
      <c r="AI36" s="21" t="s">
        <v>90</v>
      </c>
      <c r="AJ36" s="63">
        <f>VLOOKUP(AJ$23,'Homes - Inputs'!$C$35:$D$39,2,FALSE)*AJ25</f>
        <v>0</v>
      </c>
      <c r="AK36" s="63">
        <f>VLOOKUP(AK$23,'Homes - Inputs'!$C$35:$D$39,2,FALSE)*AK25</f>
        <v>350.27192678227362</v>
      </c>
      <c r="AL36" s="63">
        <f>VLOOKUP(AL$23,'Homes - Inputs'!$C$35:$D$39,2,FALSE)*AL25</f>
        <v>0</v>
      </c>
      <c r="AM36" s="63">
        <f>VLOOKUP(AM$23,'Homes - Inputs'!$C$35:$D$39,2,FALSE)*AM25</f>
        <v>0</v>
      </c>
      <c r="AN36" s="63">
        <f>VLOOKUP(AN$23,'Homes - Inputs'!$C$35:$D$39,2,FALSE)*AN25</f>
        <v>0</v>
      </c>
      <c r="AO36" s="72">
        <f t="shared" ref="AO36:AO42" si="22">SUMIF(AJ36:AN36,"&lt;&gt;#N/A")</f>
        <v>350.27192678227362</v>
      </c>
      <c r="AR36" s="21" t="s">
        <v>90</v>
      </c>
      <c r="AS36" s="63">
        <f>VLOOKUP(AS$23,'Homes - Inputs'!$C$35:$D$39,2,FALSE)*AS25</f>
        <v>0</v>
      </c>
      <c r="AT36" s="63">
        <f>VLOOKUP(AT$23,'Homes - Inputs'!$C$35:$D$39,2,FALSE)*AT25</f>
        <v>1117.9193506743738</v>
      </c>
      <c r="AU36" s="63">
        <f>VLOOKUP(AU$23,'Homes - Inputs'!$C$35:$D$39,2,FALSE)*AU25</f>
        <v>0</v>
      </c>
      <c r="AV36" s="63">
        <f>VLOOKUP(AV$23,'Homes - Inputs'!$C$35:$D$39,2,FALSE)*AV25</f>
        <v>0</v>
      </c>
      <c r="AW36" s="63">
        <f>VLOOKUP(AW$23,'Homes - Inputs'!$C$35:$D$39,2,FALSE)*AW25</f>
        <v>0</v>
      </c>
      <c r="AX36" s="72">
        <f t="shared" ref="AX36:AX42" si="23">SUMIF(AS36:AW36,"&lt;&gt;#N/A")</f>
        <v>1117.9193506743738</v>
      </c>
      <c r="AZ36" s="21" t="s">
        <v>90</v>
      </c>
      <c r="BA36" s="63">
        <f>VLOOKUP(BA$23,'Homes - Inputs'!$C$35:$D$39,2,FALSE)*BA25</f>
        <v>0</v>
      </c>
      <c r="BB36" s="63">
        <f>VLOOKUP(BB$23,'Homes - Inputs'!$C$35:$D$39,2,FALSE)*BB25</f>
        <v>460.5660346820809</v>
      </c>
      <c r="BC36" s="63">
        <f>VLOOKUP(BC$23,'Homes - Inputs'!$C$35:$D$39,2,FALSE)*BC25</f>
        <v>0</v>
      </c>
      <c r="BD36" s="63">
        <f>VLOOKUP(BD$23,'Homes - Inputs'!$C$35:$D$39,2,FALSE)*BD25</f>
        <v>0</v>
      </c>
      <c r="BE36" s="63">
        <f>VLOOKUP(BE$23,'Homes - Inputs'!$C$35:$D$39,2,FALSE)*BE25</f>
        <v>0</v>
      </c>
      <c r="BF36" s="72">
        <f t="shared" ref="BF36:BF42" si="24">SUMIF(BA36:BE36,"&lt;&gt;#N/A")</f>
        <v>460.5660346820809</v>
      </c>
      <c r="BH36" s="21" t="s">
        <v>90</v>
      </c>
      <c r="BI36" s="63">
        <f>VLOOKUP(BI$23,'Homes - Inputs'!$C$35:$D$39,2,FALSE)*BI25</f>
        <v>0</v>
      </c>
      <c r="BJ36" s="63">
        <f>VLOOKUP(BJ$23,'Homes - Inputs'!$C$35:$D$39,2,FALSE)*BJ25</f>
        <v>402.83471676300582</v>
      </c>
      <c r="BK36" s="63">
        <f>VLOOKUP(BK$23,'Homes - Inputs'!$C$35:$D$39,2,FALSE)*BK25</f>
        <v>0</v>
      </c>
      <c r="BL36" s="63">
        <f>VLOOKUP(BL$23,'Homes - Inputs'!$C$35:$D$39,2,FALSE)*BL25</f>
        <v>0</v>
      </c>
      <c r="BM36" s="63">
        <f>VLOOKUP(BM$23,'Homes - Inputs'!$C$35:$D$39,2,FALSE)*BM25</f>
        <v>0</v>
      </c>
      <c r="BN36" s="72">
        <f t="shared" ref="BN36:BN42" si="25">SUMIF(BI36:BM36,"&lt;&gt;#N/A")</f>
        <v>402.83471676300582</v>
      </c>
      <c r="BP36" s="21" t="s">
        <v>90</v>
      </c>
      <c r="BQ36" s="63">
        <f>VLOOKUP(BQ$23,'Homes - Inputs'!$C$35:$D$39,2,FALSE)*BQ25</f>
        <v>0</v>
      </c>
      <c r="BR36" s="63">
        <f>VLOOKUP(BR$23,'Homes - Inputs'!$C$35:$D$39,2,FALSE)*BR25</f>
        <v>350.27192678227362</v>
      </c>
      <c r="BS36" s="63">
        <f>VLOOKUP(BS$23,'Homes - Inputs'!$C$35:$D$39,2,FALSE)*BS25</f>
        <v>0</v>
      </c>
      <c r="BT36" s="63">
        <f>VLOOKUP(BT$23,'Homes - Inputs'!$C$35:$D$39,2,FALSE)*BT25</f>
        <v>0</v>
      </c>
      <c r="BU36" s="63">
        <f>VLOOKUP(BU$23,'Homes - Inputs'!$C$35:$D$39,2,FALSE)*BU25</f>
        <v>0</v>
      </c>
      <c r="BV36" s="72">
        <f t="shared" ref="BV36:BV42" si="26">SUMIF(BQ36:BU36,"&lt;&gt;#N/A")</f>
        <v>350.27192678227362</v>
      </c>
      <c r="BX36" s="21" t="s">
        <v>90</v>
      </c>
      <c r="BY36" s="63">
        <f>VLOOKUP(BY$23,'Homes - Inputs'!$C$35:$D$39,2,FALSE)*BY25</f>
        <v>900.81692415812574</v>
      </c>
      <c r="BZ36" s="63">
        <f>VLOOKUP(BZ$23,'Homes - Inputs'!$C$35:$D$39,2,FALSE)*BZ25</f>
        <v>0</v>
      </c>
      <c r="CA36" s="63">
        <f>VLOOKUP(CA$23,'Homes - Inputs'!$C$35:$D$39,2,FALSE)*CA25</f>
        <v>0</v>
      </c>
      <c r="CB36" s="63">
        <f>VLOOKUP(CB$23,'Homes - Inputs'!$C$35:$D$39,2,FALSE)*CB25</f>
        <v>0</v>
      </c>
      <c r="CC36" s="63">
        <f>VLOOKUP(CC$23,'Homes - Inputs'!$C$35:$D$39,2,FALSE)*CC25</f>
        <v>0</v>
      </c>
      <c r="CD36" s="72">
        <f t="shared" ref="CD36:CD42" si="27">SUMIF(BY36:CC36,"&lt;&gt;#N/A")</f>
        <v>900.81692415812574</v>
      </c>
      <c r="CF36" s="21" t="s">
        <v>90</v>
      </c>
      <c r="CG36" s="63">
        <f>VLOOKUP(CG$23,'Homes - Inputs'!$C$35:$D$39,2,FALSE)*CG25</f>
        <v>681.28715783308917</v>
      </c>
      <c r="CH36" s="63">
        <f>VLOOKUP(CH$23,'Homes - Inputs'!$C$35:$D$39,2,FALSE)*CH25</f>
        <v>0</v>
      </c>
      <c r="CI36" s="63">
        <f>VLOOKUP(CI$23,'Homes - Inputs'!$C$35:$D$39,2,FALSE)*CI25</f>
        <v>0</v>
      </c>
      <c r="CJ36" s="63">
        <f>VLOOKUP(CJ$23,'Homes - Inputs'!$C$35:$D$39,2,FALSE)*CJ25</f>
        <v>0</v>
      </c>
      <c r="CK36" s="63">
        <f>VLOOKUP(CK$23,'Homes - Inputs'!$C$35:$D$39,2,FALSE)*CK25</f>
        <v>0</v>
      </c>
      <c r="CL36" s="72">
        <f t="shared" ref="CL36:CL42" si="28">SUMIF(CG36:CK36,"&lt;&gt;#N/A")</f>
        <v>681.28715783308917</v>
      </c>
      <c r="CN36" s="21" t="s">
        <v>90</v>
      </c>
      <c r="CO36" s="63">
        <f>VLOOKUP(CO$23,'Homes - Inputs'!$C$35:$D$39,2,FALSE)*CO25</f>
        <v>506.98517715959002</v>
      </c>
      <c r="CP36" s="63">
        <f>VLOOKUP(CP$23,'Homes - Inputs'!$C$35:$D$39,2,FALSE)*CP25</f>
        <v>0</v>
      </c>
      <c r="CQ36" s="63">
        <f>VLOOKUP(CQ$23,'Homes - Inputs'!$C$35:$D$39,2,FALSE)*CQ25</f>
        <v>0</v>
      </c>
      <c r="CR36" s="63">
        <f>VLOOKUP(CR$23,'Homes - Inputs'!$C$35:$D$39,2,FALSE)*CR25</f>
        <v>0</v>
      </c>
      <c r="CS36" s="63">
        <f>VLOOKUP(CS$23,'Homes - Inputs'!$C$35:$D$39,2,FALSE)*CS25</f>
        <v>0</v>
      </c>
      <c r="CT36" s="72">
        <f t="shared" ref="CT36:CT42" si="29">SUMIF(CO36:CS36,"&lt;&gt;#N/A")</f>
        <v>506.98517715959002</v>
      </c>
      <c r="CV36" s="21" t="s">
        <v>90</v>
      </c>
      <c r="CW36" s="63">
        <f>VLOOKUP(CW$23,'Homes - Inputs'!$C$35:$D$39,2,FALSE)*CW25</f>
        <v>700.17606442166903</v>
      </c>
      <c r="CX36" s="63">
        <f>VLOOKUP(CX$23,'Homes - Inputs'!$C$35:$D$39,2,FALSE)*CX25</f>
        <v>0</v>
      </c>
      <c r="CY36" s="63">
        <f>VLOOKUP(CY$23,'Homes - Inputs'!$C$35:$D$39,2,FALSE)*CY25</f>
        <v>0</v>
      </c>
      <c r="CZ36" s="63">
        <f>VLOOKUP(CZ$23,'Homes - Inputs'!$C$35:$D$39,2,FALSE)*CZ25</f>
        <v>0</v>
      </c>
      <c r="DA36" s="63">
        <f>VLOOKUP(DA$23,'Homes - Inputs'!$C$35:$D$39,2,FALSE)*DA25</f>
        <v>0</v>
      </c>
      <c r="DB36" s="72">
        <f t="shared" ref="DB36:DB42" si="30">SUMIF(CW36:DA36,"&lt;&gt;#N/A")</f>
        <v>700.17606442166903</v>
      </c>
      <c r="DD36" s="21" t="s">
        <v>90</v>
      </c>
      <c r="DE36" s="63">
        <f>VLOOKUP(DE$23,'Homes - Inputs'!$C$35:$D$39,2,FALSE)*DE25</f>
        <v>596.47801464128827</v>
      </c>
      <c r="DF36" s="63">
        <f>VLOOKUP(DF$23,'Homes - Inputs'!$C$35:$D$39,2,FALSE)*DF25</f>
        <v>0</v>
      </c>
      <c r="DG36" s="63">
        <f>VLOOKUP(DG$23,'Homes - Inputs'!$C$35:$D$39,2,FALSE)*DG25</f>
        <v>0</v>
      </c>
      <c r="DH36" s="63">
        <f>VLOOKUP(DH$23,'Homes - Inputs'!$C$35:$D$39,2,FALSE)*DH25</f>
        <v>0</v>
      </c>
      <c r="DI36" s="63">
        <f>VLOOKUP(DI$23,'Homes - Inputs'!$C$35:$D$39,2,FALSE)*DI25</f>
        <v>0</v>
      </c>
      <c r="DJ36" s="72">
        <f t="shared" ref="DJ36:DJ42" si="31">SUMIF(DE36:DI36,"&lt;&gt;#N/A")</f>
        <v>596.47801464128827</v>
      </c>
      <c r="DL36" s="21" t="s">
        <v>90</v>
      </c>
      <c r="DM36" s="63">
        <f>VLOOKUP(DM$23,'Homes - Inputs'!$C$35:$D$39,2,FALSE)*DM25</f>
        <v>506.98517715959002</v>
      </c>
      <c r="DN36" s="63">
        <f>VLOOKUP(DN$23,'Homes - Inputs'!$C$35:$D$39,2,FALSE)*DN25</f>
        <v>0</v>
      </c>
      <c r="DO36" s="63">
        <f>VLOOKUP(DO$23,'Homes - Inputs'!$C$35:$D$39,2,FALSE)*DO25</f>
        <v>0</v>
      </c>
      <c r="DP36" s="63">
        <f>VLOOKUP(DP$23,'Homes - Inputs'!$C$35:$D$39,2,FALSE)*DP25</f>
        <v>0</v>
      </c>
      <c r="DQ36" s="63">
        <f>VLOOKUP(DQ$23,'Homes - Inputs'!$C$35:$D$39,2,FALSE)*DQ25</f>
        <v>0</v>
      </c>
      <c r="DR36" s="72">
        <f t="shared" ref="DR36:DR42" si="32">SUMIF(DM36:DQ36,"&lt;&gt;#N/A")</f>
        <v>506.98517715959002</v>
      </c>
    </row>
    <row r="37" spans="2:122" x14ac:dyDescent="0.3">
      <c r="B37" s="197" t="s">
        <v>91</v>
      </c>
      <c r="C37" s="215">
        <f t="shared" ca="1" si="14"/>
        <v>477.23762225475843</v>
      </c>
      <c r="D37" s="63">
        <f t="shared" ca="1" si="17"/>
        <v>304.67362342606145</v>
      </c>
      <c r="E37" s="216">
        <f t="shared" ca="1" si="18"/>
        <v>241.5432445095168</v>
      </c>
      <c r="F37" s="219">
        <f t="shared" ca="1" si="15"/>
        <v>0</v>
      </c>
      <c r="G37" s="215">
        <f t="shared" ca="1" si="19"/>
        <v>435.9746436310395</v>
      </c>
      <c r="H37" s="63">
        <f t="shared" ref="H37:J42" ca="1" si="33">OFFSET($Q37,0,(9+8*H$22))</f>
        <v>296.29887437774522</v>
      </c>
      <c r="I37" s="216">
        <f t="shared" ca="1" si="33"/>
        <v>241.5432445095168</v>
      </c>
      <c r="J37" s="215">
        <f t="shared" ca="1" si="33"/>
        <v>218.67112737920934</v>
      </c>
      <c r="K37" s="63">
        <f t="shared" ref="K37:K42" ca="1" si="34">OFFSET($Q37,0,(9+8*K$22))</f>
        <v>134.63723221083455</v>
      </c>
      <c r="L37" s="216">
        <f t="shared" ca="1" si="16"/>
        <v>113.38980029282575</v>
      </c>
      <c r="M37" s="215">
        <f t="shared" ca="1" si="16"/>
        <v>232.00792386530011</v>
      </c>
      <c r="N37" s="63">
        <f t="shared" ca="1" si="16"/>
        <v>134.15471508052707</v>
      </c>
      <c r="O37" s="216">
        <f t="shared" ca="1" si="16"/>
        <v>113.38980029282575</v>
      </c>
      <c r="Q37" s="21" t="s">
        <v>91</v>
      </c>
      <c r="R37" s="63">
        <f>VLOOKUP(R$23,'Homes - Inputs'!$C$35:$D$39,2,FALSE)*R26</f>
        <v>477.23762225475843</v>
      </c>
      <c r="S37" s="63">
        <f>VLOOKUP(S$23,'Homes - Inputs'!$C$35:$D$39,2,FALSE)*S26</f>
        <v>0</v>
      </c>
      <c r="T37" s="63">
        <f>VLOOKUP(T$23,'Homes - Inputs'!$C$35:$D$39,2,FALSE)*T26</f>
        <v>0</v>
      </c>
      <c r="U37" s="63">
        <f>VLOOKUP(U$23,'Homes - Inputs'!$C$35:$D$39,2,FALSE)*U26</f>
        <v>0</v>
      </c>
      <c r="V37" s="63">
        <f>VLOOKUP(V$23,'Homes - Inputs'!$C$35:$D$39,2,FALSE)*V26</f>
        <v>0</v>
      </c>
      <c r="W37" s="72">
        <f t="shared" si="20"/>
        <v>477.23762225475843</v>
      </c>
      <c r="Z37" s="21" t="s">
        <v>91</v>
      </c>
      <c r="AA37" s="63">
        <f>VLOOKUP(AA$23,'Homes - Inputs'!$C$35:$D$39,2,FALSE)*AA26</f>
        <v>304.67362342606145</v>
      </c>
      <c r="AB37" s="63">
        <f>VLOOKUP(AB$23,'Homes - Inputs'!$C$35:$D$39,2,FALSE)*AB26</f>
        <v>0</v>
      </c>
      <c r="AC37" s="63">
        <f>VLOOKUP(AC$23,'Homes - Inputs'!$C$35:$D$39,2,FALSE)*AC26</f>
        <v>0</v>
      </c>
      <c r="AD37" s="63">
        <f>VLOOKUP(AD$23,'Homes - Inputs'!$C$35:$D$39,2,FALSE)*AD26</f>
        <v>0</v>
      </c>
      <c r="AE37" s="63">
        <f>VLOOKUP(AE$23,'Homes - Inputs'!$C$35:$D$39,2,FALSE)*AE26</f>
        <v>0</v>
      </c>
      <c r="AF37" s="72">
        <f t="shared" si="21"/>
        <v>304.67362342606145</v>
      </c>
      <c r="AI37" s="21" t="s">
        <v>91</v>
      </c>
      <c r="AJ37" s="63">
        <f>VLOOKUP(AJ$23,'Homes - Inputs'!$C$35:$D$39,2,FALSE)*AJ26</f>
        <v>241.5432445095168</v>
      </c>
      <c r="AK37" s="63">
        <f>VLOOKUP(AK$23,'Homes - Inputs'!$C$35:$D$39,2,FALSE)*AK26</f>
        <v>0</v>
      </c>
      <c r="AL37" s="63">
        <f>VLOOKUP(AL$23,'Homes - Inputs'!$C$35:$D$39,2,FALSE)*AL26</f>
        <v>0</v>
      </c>
      <c r="AM37" s="63">
        <f>VLOOKUP(AM$23,'Homes - Inputs'!$C$35:$D$39,2,FALSE)*AM26</f>
        <v>0</v>
      </c>
      <c r="AN37" s="63">
        <f>VLOOKUP(AN$23,'Homes - Inputs'!$C$35:$D$39,2,FALSE)*AN26</f>
        <v>0</v>
      </c>
      <c r="AO37" s="72">
        <f t="shared" si="22"/>
        <v>241.5432445095168</v>
      </c>
      <c r="AR37" s="21" t="s">
        <v>91</v>
      </c>
      <c r="AS37" s="63">
        <f>VLOOKUP(AS$23,'Homes - Inputs'!$C$35:$D$39,2,FALSE)*AS26</f>
        <v>265.59261142020495</v>
      </c>
      <c r="AT37" s="63">
        <f>VLOOKUP(AT$23,'Homes - Inputs'!$C$35:$D$39,2,FALSE)*AT26</f>
        <v>0</v>
      </c>
      <c r="AU37" s="63">
        <f>VLOOKUP(AU$23,'Homes - Inputs'!$C$35:$D$39,2,FALSE)*AU26</f>
        <v>0</v>
      </c>
      <c r="AV37" s="63">
        <f>VLOOKUP(AV$23,'Homes - Inputs'!$C$35:$D$39,2,FALSE)*AV26</f>
        <v>0</v>
      </c>
      <c r="AW37" s="63">
        <f>VLOOKUP(AW$23,'Homes - Inputs'!$C$35:$D$39,2,FALSE)*AW26</f>
        <v>0</v>
      </c>
      <c r="AX37" s="72">
        <f t="shared" si="23"/>
        <v>265.59261142020495</v>
      </c>
      <c r="AZ37" s="21" t="s">
        <v>91</v>
      </c>
      <c r="BA37" s="63">
        <f>VLOOKUP(BA$23,'Homes - Inputs'!$C$35:$D$39,2,FALSE)*BA26</f>
        <v>435.9746436310395</v>
      </c>
      <c r="BB37" s="63">
        <f>VLOOKUP(BB$23,'Homes - Inputs'!$C$35:$D$39,2,FALSE)*BB26</f>
        <v>0</v>
      </c>
      <c r="BC37" s="63">
        <f>VLOOKUP(BC$23,'Homes - Inputs'!$C$35:$D$39,2,FALSE)*BC26</f>
        <v>0</v>
      </c>
      <c r="BD37" s="63">
        <f>VLOOKUP(BD$23,'Homes - Inputs'!$C$35:$D$39,2,FALSE)*BD26</f>
        <v>0</v>
      </c>
      <c r="BE37" s="63">
        <f>VLOOKUP(BE$23,'Homes - Inputs'!$C$35:$D$39,2,FALSE)*BE26</f>
        <v>0</v>
      </c>
      <c r="BF37" s="72">
        <f t="shared" si="24"/>
        <v>435.9746436310395</v>
      </c>
      <c r="BH37" s="21" t="s">
        <v>91</v>
      </c>
      <c r="BI37" s="63">
        <f>VLOOKUP(BI$23,'Homes - Inputs'!$C$35:$D$39,2,FALSE)*BI26</f>
        <v>296.29887437774522</v>
      </c>
      <c r="BJ37" s="63">
        <f>VLOOKUP(BJ$23,'Homes - Inputs'!$C$35:$D$39,2,FALSE)*BJ26</f>
        <v>0</v>
      </c>
      <c r="BK37" s="63">
        <f>VLOOKUP(BK$23,'Homes - Inputs'!$C$35:$D$39,2,FALSE)*BK26</f>
        <v>0</v>
      </c>
      <c r="BL37" s="63">
        <f>VLOOKUP(BL$23,'Homes - Inputs'!$C$35:$D$39,2,FALSE)*BL26</f>
        <v>0</v>
      </c>
      <c r="BM37" s="63">
        <f>VLOOKUP(BM$23,'Homes - Inputs'!$C$35:$D$39,2,FALSE)*BM26</f>
        <v>0</v>
      </c>
      <c r="BN37" s="72">
        <f t="shared" si="25"/>
        <v>296.29887437774522</v>
      </c>
      <c r="BP37" s="21" t="s">
        <v>91</v>
      </c>
      <c r="BQ37" s="63">
        <f>VLOOKUP(BQ$23,'Homes - Inputs'!$C$35:$D$39,2,FALSE)*BQ26</f>
        <v>241.5432445095168</v>
      </c>
      <c r="BR37" s="63">
        <f>VLOOKUP(BR$23,'Homes - Inputs'!$C$35:$D$39,2,FALSE)*BR26</f>
        <v>0</v>
      </c>
      <c r="BS37" s="63">
        <f>VLOOKUP(BS$23,'Homes - Inputs'!$C$35:$D$39,2,FALSE)*BS26</f>
        <v>0</v>
      </c>
      <c r="BT37" s="63">
        <f>VLOOKUP(BT$23,'Homes - Inputs'!$C$35:$D$39,2,FALSE)*BT26</f>
        <v>0</v>
      </c>
      <c r="BU37" s="63">
        <f>VLOOKUP(BU$23,'Homes - Inputs'!$C$35:$D$39,2,FALSE)*BU26</f>
        <v>0</v>
      </c>
      <c r="BV37" s="72">
        <f t="shared" si="26"/>
        <v>241.5432445095168</v>
      </c>
      <c r="BX37" s="21" t="s">
        <v>91</v>
      </c>
      <c r="BY37" s="63">
        <f>VLOOKUP(BY$23,'Homes - Inputs'!$C$35:$D$39,2,FALSE)*BY26</f>
        <v>218.67112737920934</v>
      </c>
      <c r="BZ37" s="63">
        <f>VLOOKUP(BZ$23,'Homes - Inputs'!$C$35:$D$39,2,FALSE)*BZ26</f>
        <v>0</v>
      </c>
      <c r="CA37" s="63">
        <f>VLOOKUP(CA$23,'Homes - Inputs'!$C$35:$D$39,2,FALSE)*CA26</f>
        <v>0</v>
      </c>
      <c r="CB37" s="63">
        <f>VLOOKUP(CB$23,'Homes - Inputs'!$C$35:$D$39,2,FALSE)*CB26</f>
        <v>0</v>
      </c>
      <c r="CC37" s="63">
        <f>VLOOKUP(CC$23,'Homes - Inputs'!$C$35:$D$39,2,FALSE)*CC26</f>
        <v>0</v>
      </c>
      <c r="CD37" s="72">
        <f t="shared" si="27"/>
        <v>218.67112737920934</v>
      </c>
      <c r="CF37" s="21" t="s">
        <v>91</v>
      </c>
      <c r="CG37" s="63">
        <f>VLOOKUP(CG$23,'Homes - Inputs'!$C$35:$D$39,2,FALSE)*CG26</f>
        <v>134.63723221083455</v>
      </c>
      <c r="CH37" s="63">
        <f>VLOOKUP(CH$23,'Homes - Inputs'!$C$35:$D$39,2,FALSE)*CH26</f>
        <v>0</v>
      </c>
      <c r="CI37" s="63">
        <f>VLOOKUP(CI$23,'Homes - Inputs'!$C$35:$D$39,2,FALSE)*CI26</f>
        <v>0</v>
      </c>
      <c r="CJ37" s="63">
        <f>VLOOKUP(CJ$23,'Homes - Inputs'!$C$35:$D$39,2,FALSE)*CJ26</f>
        <v>0</v>
      </c>
      <c r="CK37" s="63">
        <f>VLOOKUP(CK$23,'Homes - Inputs'!$C$35:$D$39,2,FALSE)*CK26</f>
        <v>0</v>
      </c>
      <c r="CL37" s="72">
        <f t="shared" si="28"/>
        <v>134.63723221083455</v>
      </c>
      <c r="CN37" s="21" t="s">
        <v>91</v>
      </c>
      <c r="CO37" s="63">
        <f>VLOOKUP(CO$23,'Homes - Inputs'!$C$35:$D$39,2,FALSE)*CO26</f>
        <v>113.38980029282575</v>
      </c>
      <c r="CP37" s="63">
        <f>VLOOKUP(CP$23,'Homes - Inputs'!$C$35:$D$39,2,FALSE)*CP26</f>
        <v>0</v>
      </c>
      <c r="CQ37" s="63">
        <f>VLOOKUP(CQ$23,'Homes - Inputs'!$C$35:$D$39,2,FALSE)*CQ26</f>
        <v>0</v>
      </c>
      <c r="CR37" s="63">
        <f>VLOOKUP(CR$23,'Homes - Inputs'!$C$35:$D$39,2,FALSE)*CR26</f>
        <v>0</v>
      </c>
      <c r="CS37" s="63">
        <f>VLOOKUP(CS$23,'Homes - Inputs'!$C$35:$D$39,2,FALSE)*CS26</f>
        <v>0</v>
      </c>
      <c r="CT37" s="72">
        <f t="shared" si="29"/>
        <v>113.38980029282575</v>
      </c>
      <c r="CV37" s="21" t="s">
        <v>91</v>
      </c>
      <c r="CW37" s="63">
        <f>VLOOKUP(CW$23,'Homes - Inputs'!$C$35:$D$39,2,FALSE)*CW26</f>
        <v>232.00792386530011</v>
      </c>
      <c r="CX37" s="63">
        <f>VLOOKUP(CX$23,'Homes - Inputs'!$C$35:$D$39,2,FALSE)*CX26</f>
        <v>0</v>
      </c>
      <c r="CY37" s="63">
        <f>VLOOKUP(CY$23,'Homes - Inputs'!$C$35:$D$39,2,FALSE)*CY26</f>
        <v>0</v>
      </c>
      <c r="CZ37" s="63">
        <f>VLOOKUP(CZ$23,'Homes - Inputs'!$C$35:$D$39,2,FALSE)*CZ26</f>
        <v>0</v>
      </c>
      <c r="DA37" s="63">
        <f>VLOOKUP(DA$23,'Homes - Inputs'!$C$35:$D$39,2,FALSE)*DA26</f>
        <v>0</v>
      </c>
      <c r="DB37" s="72">
        <f t="shared" si="30"/>
        <v>232.00792386530011</v>
      </c>
      <c r="DD37" s="21" t="s">
        <v>91</v>
      </c>
      <c r="DE37" s="63">
        <f>VLOOKUP(DE$23,'Homes - Inputs'!$C$35:$D$39,2,FALSE)*DE26</f>
        <v>134.15471508052707</v>
      </c>
      <c r="DF37" s="63">
        <f>VLOOKUP(DF$23,'Homes - Inputs'!$C$35:$D$39,2,FALSE)*DF26</f>
        <v>0</v>
      </c>
      <c r="DG37" s="63">
        <f>VLOOKUP(DG$23,'Homes - Inputs'!$C$35:$D$39,2,FALSE)*DG26</f>
        <v>0</v>
      </c>
      <c r="DH37" s="63">
        <f>VLOOKUP(DH$23,'Homes - Inputs'!$C$35:$D$39,2,FALSE)*DH26</f>
        <v>0</v>
      </c>
      <c r="DI37" s="63">
        <f>VLOOKUP(DI$23,'Homes - Inputs'!$C$35:$D$39,2,FALSE)*DI26</f>
        <v>0</v>
      </c>
      <c r="DJ37" s="72">
        <f t="shared" si="31"/>
        <v>134.15471508052707</v>
      </c>
      <c r="DL37" s="21" t="s">
        <v>91</v>
      </c>
      <c r="DM37" s="63">
        <f>VLOOKUP(DM$23,'Homes - Inputs'!$C$35:$D$39,2,FALSE)*DM26</f>
        <v>113.38980029282575</v>
      </c>
      <c r="DN37" s="63">
        <f>VLOOKUP(DN$23,'Homes - Inputs'!$C$35:$D$39,2,FALSE)*DN26</f>
        <v>0</v>
      </c>
      <c r="DO37" s="63">
        <f>VLOOKUP(DO$23,'Homes - Inputs'!$C$35:$D$39,2,FALSE)*DO26</f>
        <v>0</v>
      </c>
      <c r="DP37" s="63">
        <f>VLOOKUP(DP$23,'Homes - Inputs'!$C$35:$D$39,2,FALSE)*DP26</f>
        <v>0</v>
      </c>
      <c r="DQ37" s="63">
        <f>VLOOKUP(DQ$23,'Homes - Inputs'!$C$35:$D$39,2,FALSE)*DQ26</f>
        <v>0</v>
      </c>
      <c r="DR37" s="72">
        <f t="shared" si="32"/>
        <v>113.38980029282575</v>
      </c>
    </row>
    <row r="38" spans="2:122" x14ac:dyDescent="0.3">
      <c r="B38" s="197" t="s">
        <v>103</v>
      </c>
      <c r="C38" s="215">
        <f t="shared" ca="1" si="14"/>
        <v>5.4060322108345528E-2</v>
      </c>
      <c r="D38" s="63">
        <f t="shared" ca="1" si="17"/>
        <v>4.4858565153733522E-2</v>
      </c>
      <c r="E38" s="216">
        <f t="shared" ca="1" si="18"/>
        <v>3.9682576866764269E-2</v>
      </c>
      <c r="F38" s="219">
        <f t="shared" ca="1" si="15"/>
        <v>0</v>
      </c>
      <c r="G38" s="215">
        <f t="shared" ca="1" si="19"/>
        <v>5.4060322108345528E-2</v>
      </c>
      <c r="H38" s="63">
        <f t="shared" ca="1" si="33"/>
        <v>4.4858565153733522E-2</v>
      </c>
      <c r="I38" s="216">
        <f t="shared" ca="1" si="33"/>
        <v>3.9682576866764269E-2</v>
      </c>
      <c r="J38" s="215">
        <f t="shared" ca="1" si="33"/>
        <v>16.564312737920933</v>
      </c>
      <c r="K38" s="63">
        <f t="shared" ca="1" si="34"/>
        <v>12.744433382137627</v>
      </c>
      <c r="L38" s="216">
        <f t="shared" ca="1" si="16"/>
        <v>10.151838360175695</v>
      </c>
      <c r="M38" s="215">
        <f t="shared" ca="1" si="16"/>
        <v>14.482990336749634</v>
      </c>
      <c r="N38" s="63">
        <f t="shared" ca="1" si="16"/>
        <v>11.658050951683748</v>
      </c>
      <c r="O38" s="216">
        <f t="shared" ca="1" si="16"/>
        <v>10.151838360175695</v>
      </c>
      <c r="Q38" s="21" t="s">
        <v>103</v>
      </c>
      <c r="R38" s="63">
        <f>VLOOKUP(R$23,'Homes - Inputs'!$C$35:$D$39,2,FALSE)*R27</f>
        <v>5.4060322108345528E-2</v>
      </c>
      <c r="S38" s="63">
        <f>VLOOKUP(S$23,'Homes - Inputs'!$C$35:$D$39,2,FALSE)*S27</f>
        <v>0</v>
      </c>
      <c r="T38" s="63">
        <f>VLOOKUP(T$23,'Homes - Inputs'!$C$35:$D$39,2,FALSE)*T27</f>
        <v>0</v>
      </c>
      <c r="U38" s="63">
        <f>VLOOKUP(U$23,'Homes - Inputs'!$C$35:$D$39,2,FALSE)*U27</f>
        <v>0</v>
      </c>
      <c r="V38" s="63">
        <f>VLOOKUP(V$23,'Homes - Inputs'!$C$35:$D$39,2,FALSE)*V27</f>
        <v>0</v>
      </c>
      <c r="W38" s="72">
        <f t="shared" si="20"/>
        <v>5.4060322108345528E-2</v>
      </c>
      <c r="Z38" s="21" t="s">
        <v>103</v>
      </c>
      <c r="AA38" s="63">
        <f>VLOOKUP(AA$23,'Homes - Inputs'!$C$35:$D$39,2,FALSE)*AA27</f>
        <v>4.4858565153733522E-2</v>
      </c>
      <c r="AB38" s="63">
        <f>VLOOKUP(AB$23,'Homes - Inputs'!$C$35:$D$39,2,FALSE)*AB27</f>
        <v>0</v>
      </c>
      <c r="AC38" s="63">
        <f>VLOOKUP(AC$23,'Homes - Inputs'!$C$35:$D$39,2,FALSE)*AC27</f>
        <v>0</v>
      </c>
      <c r="AD38" s="63">
        <f>VLOOKUP(AD$23,'Homes - Inputs'!$C$35:$D$39,2,FALSE)*AD27</f>
        <v>0</v>
      </c>
      <c r="AE38" s="63">
        <f>VLOOKUP(AE$23,'Homes - Inputs'!$C$35:$D$39,2,FALSE)*AE27</f>
        <v>0</v>
      </c>
      <c r="AF38" s="72">
        <f t="shared" si="21"/>
        <v>4.4858565153733522E-2</v>
      </c>
      <c r="AI38" s="21" t="s">
        <v>103</v>
      </c>
      <c r="AJ38" s="63">
        <f>VLOOKUP(AJ$23,'Homes - Inputs'!$C$35:$D$39,2,FALSE)*AJ27</f>
        <v>3.9682576866764269E-2</v>
      </c>
      <c r="AK38" s="63">
        <f>VLOOKUP(AK$23,'Homes - Inputs'!$C$35:$D$39,2,FALSE)*AK27</f>
        <v>0</v>
      </c>
      <c r="AL38" s="63">
        <f>VLOOKUP(AL$23,'Homes - Inputs'!$C$35:$D$39,2,FALSE)*AL27</f>
        <v>0</v>
      </c>
      <c r="AM38" s="63">
        <f>VLOOKUP(AM$23,'Homes - Inputs'!$C$35:$D$39,2,FALSE)*AM27</f>
        <v>0</v>
      </c>
      <c r="AN38" s="63">
        <f>VLOOKUP(AN$23,'Homes - Inputs'!$C$35:$D$39,2,FALSE)*AN27</f>
        <v>0</v>
      </c>
      <c r="AO38" s="72">
        <f t="shared" si="22"/>
        <v>3.9682576866764269E-2</v>
      </c>
      <c r="AR38" s="21" t="s">
        <v>103</v>
      </c>
      <c r="AS38" s="63">
        <f>VLOOKUP(AS$23,'Homes - Inputs'!$C$35:$D$39,2,FALSE)*AS27</f>
        <v>0</v>
      </c>
      <c r="AT38" s="63">
        <f>VLOOKUP(AT$23,'Homes - Inputs'!$C$35:$D$39,2,FALSE)*AT27</f>
        <v>0</v>
      </c>
      <c r="AU38" s="63">
        <f>VLOOKUP(AU$23,'Homes - Inputs'!$C$35:$D$39,2,FALSE)*AU27</f>
        <v>0</v>
      </c>
      <c r="AV38" s="63">
        <f>VLOOKUP(AV$23,'Homes - Inputs'!$C$35:$D$39,2,FALSE)*AV27</f>
        <v>0</v>
      </c>
      <c r="AW38" s="63">
        <f>VLOOKUP(AW$23,'Homes - Inputs'!$C$35:$D$39,2,FALSE)*AW27</f>
        <v>0</v>
      </c>
      <c r="AX38" s="72">
        <f t="shared" si="23"/>
        <v>0</v>
      </c>
      <c r="AZ38" s="21" t="s">
        <v>103</v>
      </c>
      <c r="BA38" s="63">
        <f>VLOOKUP(BA$23,'Homes - Inputs'!$C$35:$D$39,2,FALSE)*BA27</f>
        <v>5.4060322108345528E-2</v>
      </c>
      <c r="BB38" s="63">
        <f>VLOOKUP(BB$23,'Homes - Inputs'!$C$35:$D$39,2,FALSE)*BB27</f>
        <v>0</v>
      </c>
      <c r="BC38" s="63">
        <f>VLOOKUP(BC$23,'Homes - Inputs'!$C$35:$D$39,2,FALSE)*BC27</f>
        <v>0</v>
      </c>
      <c r="BD38" s="63">
        <f>VLOOKUP(BD$23,'Homes - Inputs'!$C$35:$D$39,2,FALSE)*BD27</f>
        <v>0</v>
      </c>
      <c r="BE38" s="63">
        <f>VLOOKUP(BE$23,'Homes - Inputs'!$C$35:$D$39,2,FALSE)*BE27</f>
        <v>0</v>
      </c>
      <c r="BF38" s="72">
        <f t="shared" si="24"/>
        <v>5.4060322108345528E-2</v>
      </c>
      <c r="BH38" s="21" t="s">
        <v>103</v>
      </c>
      <c r="BI38" s="63">
        <f>VLOOKUP(BI$23,'Homes - Inputs'!$C$35:$D$39,2,FALSE)*BI27</f>
        <v>4.4858565153733522E-2</v>
      </c>
      <c r="BJ38" s="63">
        <f>VLOOKUP(BJ$23,'Homes - Inputs'!$C$35:$D$39,2,FALSE)*BJ27</f>
        <v>0</v>
      </c>
      <c r="BK38" s="63">
        <f>VLOOKUP(BK$23,'Homes - Inputs'!$C$35:$D$39,2,FALSE)*BK27</f>
        <v>0</v>
      </c>
      <c r="BL38" s="63">
        <f>VLOOKUP(BL$23,'Homes - Inputs'!$C$35:$D$39,2,FALSE)*BL27</f>
        <v>0</v>
      </c>
      <c r="BM38" s="63">
        <f>VLOOKUP(BM$23,'Homes - Inputs'!$C$35:$D$39,2,FALSE)*BM27</f>
        <v>0</v>
      </c>
      <c r="BN38" s="72">
        <f t="shared" si="25"/>
        <v>4.4858565153733522E-2</v>
      </c>
      <c r="BP38" s="21" t="s">
        <v>103</v>
      </c>
      <c r="BQ38" s="63">
        <f>VLOOKUP(BQ$23,'Homes - Inputs'!$C$35:$D$39,2,FALSE)*BQ27</f>
        <v>3.9682576866764269E-2</v>
      </c>
      <c r="BR38" s="63">
        <f>VLOOKUP(BR$23,'Homes - Inputs'!$C$35:$D$39,2,FALSE)*BR27</f>
        <v>0</v>
      </c>
      <c r="BS38" s="63">
        <f>VLOOKUP(BS$23,'Homes - Inputs'!$C$35:$D$39,2,FALSE)*BS27</f>
        <v>0</v>
      </c>
      <c r="BT38" s="63">
        <f>VLOOKUP(BT$23,'Homes - Inputs'!$C$35:$D$39,2,FALSE)*BT27</f>
        <v>0</v>
      </c>
      <c r="BU38" s="63">
        <f>VLOOKUP(BU$23,'Homes - Inputs'!$C$35:$D$39,2,FALSE)*BU27</f>
        <v>0</v>
      </c>
      <c r="BV38" s="72">
        <f t="shared" si="26"/>
        <v>3.9682576866764269E-2</v>
      </c>
      <c r="BX38" s="21" t="s">
        <v>103</v>
      </c>
      <c r="BY38" s="63">
        <f>VLOOKUP(BY$23,'Homes - Inputs'!$C$35:$D$39,2,FALSE)*BY27</f>
        <v>16.564312737920933</v>
      </c>
      <c r="BZ38" s="63">
        <f>VLOOKUP(BZ$23,'Homes - Inputs'!$C$35:$D$39,2,FALSE)*BZ27</f>
        <v>0</v>
      </c>
      <c r="CA38" s="63">
        <f>VLOOKUP(CA$23,'Homes - Inputs'!$C$35:$D$39,2,FALSE)*CA27</f>
        <v>0</v>
      </c>
      <c r="CB38" s="63">
        <f>VLOOKUP(CB$23,'Homes - Inputs'!$C$35:$D$39,2,FALSE)*CB27</f>
        <v>0</v>
      </c>
      <c r="CC38" s="63">
        <f>VLOOKUP(CC$23,'Homes - Inputs'!$C$35:$D$39,2,FALSE)*CC27</f>
        <v>0</v>
      </c>
      <c r="CD38" s="72">
        <f t="shared" si="27"/>
        <v>16.564312737920933</v>
      </c>
      <c r="CF38" s="21" t="s">
        <v>103</v>
      </c>
      <c r="CG38" s="63">
        <f>VLOOKUP(CG$23,'Homes - Inputs'!$C$35:$D$39,2,FALSE)*CG27</f>
        <v>12.744433382137627</v>
      </c>
      <c r="CH38" s="63">
        <f>VLOOKUP(CH$23,'Homes - Inputs'!$C$35:$D$39,2,FALSE)*CH27</f>
        <v>0</v>
      </c>
      <c r="CI38" s="63">
        <f>VLOOKUP(CI$23,'Homes - Inputs'!$C$35:$D$39,2,FALSE)*CI27</f>
        <v>0</v>
      </c>
      <c r="CJ38" s="63">
        <f>VLOOKUP(CJ$23,'Homes - Inputs'!$C$35:$D$39,2,FALSE)*CJ27</f>
        <v>0</v>
      </c>
      <c r="CK38" s="63">
        <f>VLOOKUP(CK$23,'Homes - Inputs'!$C$35:$D$39,2,FALSE)*CK27</f>
        <v>0</v>
      </c>
      <c r="CL38" s="72">
        <f t="shared" si="28"/>
        <v>12.744433382137627</v>
      </c>
      <c r="CN38" s="21" t="s">
        <v>103</v>
      </c>
      <c r="CO38" s="63">
        <f>VLOOKUP(CO$23,'Homes - Inputs'!$C$35:$D$39,2,FALSE)*CO27</f>
        <v>10.151838360175695</v>
      </c>
      <c r="CP38" s="63">
        <f>VLOOKUP(CP$23,'Homes - Inputs'!$C$35:$D$39,2,FALSE)*CP27</f>
        <v>0</v>
      </c>
      <c r="CQ38" s="63">
        <f>VLOOKUP(CQ$23,'Homes - Inputs'!$C$35:$D$39,2,FALSE)*CQ27</f>
        <v>0</v>
      </c>
      <c r="CR38" s="63">
        <f>VLOOKUP(CR$23,'Homes - Inputs'!$C$35:$D$39,2,FALSE)*CR27</f>
        <v>0</v>
      </c>
      <c r="CS38" s="63">
        <f>VLOOKUP(CS$23,'Homes - Inputs'!$C$35:$D$39,2,FALSE)*CS27</f>
        <v>0</v>
      </c>
      <c r="CT38" s="72">
        <f t="shared" si="29"/>
        <v>10.151838360175695</v>
      </c>
      <c r="CV38" s="21" t="s">
        <v>103</v>
      </c>
      <c r="CW38" s="63">
        <f>VLOOKUP(CW$23,'Homes - Inputs'!$C$35:$D$39,2,FALSE)*CW27</f>
        <v>14.482990336749634</v>
      </c>
      <c r="CX38" s="63">
        <f>VLOOKUP(CX$23,'Homes - Inputs'!$C$35:$D$39,2,FALSE)*CX27</f>
        <v>0</v>
      </c>
      <c r="CY38" s="63">
        <f>VLOOKUP(CY$23,'Homes - Inputs'!$C$35:$D$39,2,FALSE)*CY27</f>
        <v>0</v>
      </c>
      <c r="CZ38" s="63">
        <f>VLOOKUP(CZ$23,'Homes - Inputs'!$C$35:$D$39,2,FALSE)*CZ27</f>
        <v>0</v>
      </c>
      <c r="DA38" s="63">
        <f>VLOOKUP(DA$23,'Homes - Inputs'!$C$35:$D$39,2,FALSE)*DA27</f>
        <v>0</v>
      </c>
      <c r="DB38" s="72">
        <f t="shared" si="30"/>
        <v>14.482990336749634</v>
      </c>
      <c r="DD38" s="21" t="s">
        <v>103</v>
      </c>
      <c r="DE38" s="63">
        <f>VLOOKUP(DE$23,'Homes - Inputs'!$C$35:$D$39,2,FALSE)*DE27</f>
        <v>11.658050951683748</v>
      </c>
      <c r="DF38" s="63">
        <f>VLOOKUP(DF$23,'Homes - Inputs'!$C$35:$D$39,2,FALSE)*DF27</f>
        <v>0</v>
      </c>
      <c r="DG38" s="63">
        <f>VLOOKUP(DG$23,'Homes - Inputs'!$C$35:$D$39,2,FALSE)*DG27</f>
        <v>0</v>
      </c>
      <c r="DH38" s="63">
        <f>VLOOKUP(DH$23,'Homes - Inputs'!$C$35:$D$39,2,FALSE)*DH27</f>
        <v>0</v>
      </c>
      <c r="DI38" s="63">
        <f>VLOOKUP(DI$23,'Homes - Inputs'!$C$35:$D$39,2,FALSE)*DI27</f>
        <v>0</v>
      </c>
      <c r="DJ38" s="72">
        <f t="shared" si="31"/>
        <v>11.658050951683748</v>
      </c>
      <c r="DL38" s="21" t="s">
        <v>103</v>
      </c>
      <c r="DM38" s="63">
        <f>VLOOKUP(DM$23,'Homes - Inputs'!$C$35:$D$39,2,FALSE)*DM27</f>
        <v>10.151838360175695</v>
      </c>
      <c r="DN38" s="63">
        <f>VLOOKUP(DN$23,'Homes - Inputs'!$C$35:$D$39,2,FALSE)*DN27</f>
        <v>0</v>
      </c>
      <c r="DO38" s="63">
        <f>VLOOKUP(DO$23,'Homes - Inputs'!$C$35:$D$39,2,FALSE)*DO27</f>
        <v>0</v>
      </c>
      <c r="DP38" s="63">
        <f>VLOOKUP(DP$23,'Homes - Inputs'!$C$35:$D$39,2,FALSE)*DP27</f>
        <v>0</v>
      </c>
      <c r="DQ38" s="63">
        <f>VLOOKUP(DQ$23,'Homes - Inputs'!$C$35:$D$39,2,FALSE)*DQ27</f>
        <v>0</v>
      </c>
      <c r="DR38" s="72">
        <f t="shared" si="32"/>
        <v>10.151838360175695</v>
      </c>
    </row>
    <row r="39" spans="2:122" x14ac:dyDescent="0.3">
      <c r="B39" s="197" t="s">
        <v>102</v>
      </c>
      <c r="C39" s="215">
        <f t="shared" ca="1" si="14"/>
        <v>429.37008257686671</v>
      </c>
      <c r="D39" s="63">
        <f t="shared" ca="1" si="17"/>
        <v>336.02573469985356</v>
      </c>
      <c r="E39" s="216">
        <f t="shared" ca="1" si="18"/>
        <v>239.08637540263538</v>
      </c>
      <c r="F39" s="219">
        <f t="shared" ca="1" si="15"/>
        <v>0</v>
      </c>
      <c r="G39" s="215">
        <f t="shared" ca="1" si="19"/>
        <v>346.67791859443628</v>
      </c>
      <c r="H39" s="63">
        <f t="shared" ca="1" si="33"/>
        <v>299.49648491947289</v>
      </c>
      <c r="I39" s="216">
        <f t="shared" ca="1" si="33"/>
        <v>239.08637540263538</v>
      </c>
      <c r="J39" s="215">
        <f t="shared" ca="1" si="33"/>
        <v>142.60307818448021</v>
      </c>
      <c r="K39" s="63">
        <f t="shared" ca="1" si="34"/>
        <v>123.64975929721814</v>
      </c>
      <c r="L39" s="216">
        <f t="shared" ca="1" si="16"/>
        <v>75.22723865300145</v>
      </c>
      <c r="M39" s="215">
        <f t="shared" ca="1" si="16"/>
        <v>100.85815754026353</v>
      </c>
      <c r="N39" s="63">
        <f t="shared" ca="1" si="16"/>
        <v>101.40853762811126</v>
      </c>
      <c r="O39" s="216">
        <f t="shared" ca="1" si="16"/>
        <v>75.22723865300145</v>
      </c>
      <c r="Q39" s="21" t="s">
        <v>102</v>
      </c>
      <c r="R39" s="63">
        <f>VLOOKUP(R$23,'Homes - Inputs'!$C$35:$D$39,2,FALSE)*R28</f>
        <v>429.37008257686671</v>
      </c>
      <c r="S39" s="63">
        <f>VLOOKUP(S$23,'Homes - Inputs'!$C$35:$D$39,2,FALSE)*S28</f>
        <v>0</v>
      </c>
      <c r="T39" s="63">
        <f>VLOOKUP(T$23,'Homes - Inputs'!$C$35:$D$39,2,FALSE)*T28</f>
        <v>0</v>
      </c>
      <c r="U39" s="63">
        <f>VLOOKUP(U$23,'Homes - Inputs'!$C$35:$D$39,2,FALSE)*U28</f>
        <v>0</v>
      </c>
      <c r="V39" s="63">
        <f>VLOOKUP(V$23,'Homes - Inputs'!$C$35:$D$39,2,FALSE)*V28</f>
        <v>0</v>
      </c>
      <c r="W39" s="72">
        <f t="shared" si="20"/>
        <v>429.37008257686671</v>
      </c>
      <c r="Z39" s="21" t="s">
        <v>102</v>
      </c>
      <c r="AA39" s="63">
        <f>VLOOKUP(AA$23,'Homes - Inputs'!$C$35:$D$39,2,FALSE)*AA28</f>
        <v>336.02573469985356</v>
      </c>
      <c r="AB39" s="63">
        <f>VLOOKUP(AB$23,'Homes - Inputs'!$C$35:$D$39,2,FALSE)*AB28</f>
        <v>0</v>
      </c>
      <c r="AC39" s="63">
        <f>VLOOKUP(AC$23,'Homes - Inputs'!$C$35:$D$39,2,FALSE)*AC28</f>
        <v>0</v>
      </c>
      <c r="AD39" s="63">
        <f>VLOOKUP(AD$23,'Homes - Inputs'!$C$35:$D$39,2,FALSE)*AD28</f>
        <v>0</v>
      </c>
      <c r="AE39" s="63">
        <f>VLOOKUP(AE$23,'Homes - Inputs'!$C$35:$D$39,2,FALSE)*AE28</f>
        <v>0</v>
      </c>
      <c r="AF39" s="72">
        <f t="shared" si="21"/>
        <v>336.02573469985356</v>
      </c>
      <c r="AI39" s="21" t="s">
        <v>102</v>
      </c>
      <c r="AJ39" s="63">
        <f>VLOOKUP(AJ$23,'Homes - Inputs'!$C$35:$D$39,2,FALSE)*AJ28</f>
        <v>239.08637540263538</v>
      </c>
      <c r="AK39" s="63">
        <f>VLOOKUP(AK$23,'Homes - Inputs'!$C$35:$D$39,2,FALSE)*AK28</f>
        <v>0</v>
      </c>
      <c r="AL39" s="63">
        <f>VLOOKUP(AL$23,'Homes - Inputs'!$C$35:$D$39,2,FALSE)*AL28</f>
        <v>0</v>
      </c>
      <c r="AM39" s="63">
        <f>VLOOKUP(AM$23,'Homes - Inputs'!$C$35:$D$39,2,FALSE)*AM28</f>
        <v>0</v>
      </c>
      <c r="AN39" s="63">
        <f>VLOOKUP(AN$23,'Homes - Inputs'!$C$35:$D$39,2,FALSE)*AN28</f>
        <v>0</v>
      </c>
      <c r="AO39" s="72">
        <f t="shared" si="22"/>
        <v>239.08637540263538</v>
      </c>
      <c r="AR39" s="21" t="s">
        <v>102</v>
      </c>
      <c r="AS39" s="63">
        <f>VLOOKUP(AS$23,'Homes - Inputs'!$C$35:$D$39,2,FALSE)*AS28</f>
        <v>348.21058623718886</v>
      </c>
      <c r="AT39" s="63">
        <f>VLOOKUP(AT$23,'Homes - Inputs'!$C$35:$D$39,2,FALSE)*AT28</f>
        <v>0</v>
      </c>
      <c r="AU39" s="63">
        <f>VLOOKUP(AU$23,'Homes - Inputs'!$C$35:$D$39,2,FALSE)*AU28</f>
        <v>0</v>
      </c>
      <c r="AV39" s="63">
        <f>VLOOKUP(AV$23,'Homes - Inputs'!$C$35:$D$39,2,FALSE)*AV28</f>
        <v>0</v>
      </c>
      <c r="AW39" s="63">
        <f>VLOOKUP(AW$23,'Homes - Inputs'!$C$35:$D$39,2,FALSE)*AW28</f>
        <v>0</v>
      </c>
      <c r="AX39" s="72">
        <f t="shared" si="23"/>
        <v>348.21058623718886</v>
      </c>
      <c r="AZ39" s="21" t="s">
        <v>102</v>
      </c>
      <c r="BA39" s="63">
        <f>VLOOKUP(BA$23,'Homes - Inputs'!$C$35:$D$39,2,FALSE)*BA28</f>
        <v>346.67791859443628</v>
      </c>
      <c r="BB39" s="63">
        <f>VLOOKUP(BB$23,'Homes - Inputs'!$C$35:$D$39,2,FALSE)*BB28</f>
        <v>0</v>
      </c>
      <c r="BC39" s="63">
        <f>VLOOKUP(BC$23,'Homes - Inputs'!$C$35:$D$39,2,FALSE)*BC28</f>
        <v>0</v>
      </c>
      <c r="BD39" s="63">
        <f>VLOOKUP(BD$23,'Homes - Inputs'!$C$35:$D$39,2,FALSE)*BD28</f>
        <v>0</v>
      </c>
      <c r="BE39" s="63">
        <f>VLOOKUP(BE$23,'Homes - Inputs'!$C$35:$D$39,2,FALSE)*BE28</f>
        <v>0</v>
      </c>
      <c r="BF39" s="72">
        <f t="shared" si="24"/>
        <v>346.67791859443628</v>
      </c>
      <c r="BH39" s="21" t="s">
        <v>102</v>
      </c>
      <c r="BI39" s="63">
        <f>VLOOKUP(BI$23,'Homes - Inputs'!$C$35:$D$39,2,FALSE)*BI28</f>
        <v>299.49648491947289</v>
      </c>
      <c r="BJ39" s="63">
        <f>VLOOKUP(BJ$23,'Homes - Inputs'!$C$35:$D$39,2,FALSE)*BJ28</f>
        <v>0</v>
      </c>
      <c r="BK39" s="63">
        <f>VLOOKUP(BK$23,'Homes - Inputs'!$C$35:$D$39,2,FALSE)*BK28</f>
        <v>0</v>
      </c>
      <c r="BL39" s="63">
        <f>VLOOKUP(BL$23,'Homes - Inputs'!$C$35:$D$39,2,FALSE)*BL28</f>
        <v>0</v>
      </c>
      <c r="BM39" s="63">
        <f>VLOOKUP(BM$23,'Homes - Inputs'!$C$35:$D$39,2,FALSE)*BM28</f>
        <v>0</v>
      </c>
      <c r="BN39" s="72">
        <f t="shared" si="25"/>
        <v>299.49648491947289</v>
      </c>
      <c r="BP39" s="21" t="s">
        <v>102</v>
      </c>
      <c r="BQ39" s="63">
        <f>VLOOKUP(BQ$23,'Homes - Inputs'!$C$35:$D$39,2,FALSE)*BQ28</f>
        <v>239.08637540263538</v>
      </c>
      <c r="BR39" s="63">
        <f>VLOOKUP(BR$23,'Homes - Inputs'!$C$35:$D$39,2,FALSE)*BR28</f>
        <v>0</v>
      </c>
      <c r="BS39" s="63">
        <f>VLOOKUP(BS$23,'Homes - Inputs'!$C$35:$D$39,2,FALSE)*BS28</f>
        <v>0</v>
      </c>
      <c r="BT39" s="63">
        <f>VLOOKUP(BT$23,'Homes - Inputs'!$C$35:$D$39,2,FALSE)*BT28</f>
        <v>0</v>
      </c>
      <c r="BU39" s="63">
        <f>VLOOKUP(BU$23,'Homes - Inputs'!$C$35:$D$39,2,FALSE)*BU28</f>
        <v>0</v>
      </c>
      <c r="BV39" s="72">
        <f t="shared" si="26"/>
        <v>239.08637540263538</v>
      </c>
      <c r="BX39" s="21" t="s">
        <v>102</v>
      </c>
      <c r="BY39" s="63">
        <f>VLOOKUP(BY$23,'Homes - Inputs'!$C$35:$D$39,2,FALSE)*BY28</f>
        <v>142.60307818448021</v>
      </c>
      <c r="BZ39" s="63">
        <f>VLOOKUP(BZ$23,'Homes - Inputs'!$C$35:$D$39,2,FALSE)*BZ28</f>
        <v>0</v>
      </c>
      <c r="CA39" s="63">
        <f>VLOOKUP(CA$23,'Homes - Inputs'!$C$35:$D$39,2,FALSE)*CA28</f>
        <v>0</v>
      </c>
      <c r="CB39" s="63">
        <f>VLOOKUP(CB$23,'Homes - Inputs'!$C$35:$D$39,2,FALSE)*CB28</f>
        <v>0</v>
      </c>
      <c r="CC39" s="63">
        <f>VLOOKUP(CC$23,'Homes - Inputs'!$C$35:$D$39,2,FALSE)*CC28</f>
        <v>0</v>
      </c>
      <c r="CD39" s="72">
        <f t="shared" si="27"/>
        <v>142.60307818448021</v>
      </c>
      <c r="CF39" s="21" t="s">
        <v>102</v>
      </c>
      <c r="CG39" s="63">
        <f>VLOOKUP(CG$23,'Homes - Inputs'!$C$35:$D$39,2,FALSE)*CG28</f>
        <v>123.64975929721814</v>
      </c>
      <c r="CH39" s="63">
        <f>VLOOKUP(CH$23,'Homes - Inputs'!$C$35:$D$39,2,FALSE)*CH28</f>
        <v>0</v>
      </c>
      <c r="CI39" s="63">
        <f>VLOOKUP(CI$23,'Homes - Inputs'!$C$35:$D$39,2,FALSE)*CI28</f>
        <v>0</v>
      </c>
      <c r="CJ39" s="63">
        <f>VLOOKUP(CJ$23,'Homes - Inputs'!$C$35:$D$39,2,FALSE)*CJ28</f>
        <v>0</v>
      </c>
      <c r="CK39" s="63">
        <f>VLOOKUP(CK$23,'Homes - Inputs'!$C$35:$D$39,2,FALSE)*CK28</f>
        <v>0</v>
      </c>
      <c r="CL39" s="72">
        <f t="shared" si="28"/>
        <v>123.64975929721814</v>
      </c>
      <c r="CN39" s="21" t="s">
        <v>102</v>
      </c>
      <c r="CO39" s="63">
        <f>VLOOKUP(CO$23,'Homes - Inputs'!$C$35:$D$39,2,FALSE)*CO28</f>
        <v>75.22723865300145</v>
      </c>
      <c r="CP39" s="63">
        <f>VLOOKUP(CP$23,'Homes - Inputs'!$C$35:$D$39,2,FALSE)*CP28</f>
        <v>0</v>
      </c>
      <c r="CQ39" s="63">
        <f>VLOOKUP(CQ$23,'Homes - Inputs'!$C$35:$D$39,2,FALSE)*CQ28</f>
        <v>0</v>
      </c>
      <c r="CR39" s="63">
        <f>VLOOKUP(CR$23,'Homes - Inputs'!$C$35:$D$39,2,FALSE)*CR28</f>
        <v>0</v>
      </c>
      <c r="CS39" s="63">
        <f>VLOOKUP(CS$23,'Homes - Inputs'!$C$35:$D$39,2,FALSE)*CS28</f>
        <v>0</v>
      </c>
      <c r="CT39" s="72">
        <f t="shared" si="29"/>
        <v>75.22723865300145</v>
      </c>
      <c r="CV39" s="21" t="s">
        <v>102</v>
      </c>
      <c r="CW39" s="63">
        <f>VLOOKUP(CW$23,'Homes - Inputs'!$C$35:$D$39,2,FALSE)*CW28</f>
        <v>100.85815754026353</v>
      </c>
      <c r="CX39" s="63">
        <f>VLOOKUP(CX$23,'Homes - Inputs'!$C$35:$D$39,2,FALSE)*CX28</f>
        <v>0</v>
      </c>
      <c r="CY39" s="63">
        <f>VLOOKUP(CY$23,'Homes - Inputs'!$C$35:$D$39,2,FALSE)*CY28</f>
        <v>0</v>
      </c>
      <c r="CZ39" s="63">
        <f>VLOOKUP(CZ$23,'Homes - Inputs'!$C$35:$D$39,2,FALSE)*CZ28</f>
        <v>0</v>
      </c>
      <c r="DA39" s="63">
        <f>VLOOKUP(DA$23,'Homes - Inputs'!$C$35:$D$39,2,FALSE)*DA28</f>
        <v>0</v>
      </c>
      <c r="DB39" s="72">
        <f t="shared" si="30"/>
        <v>100.85815754026353</v>
      </c>
      <c r="DD39" s="21" t="s">
        <v>102</v>
      </c>
      <c r="DE39" s="63">
        <f>VLOOKUP(DE$23,'Homes - Inputs'!$C$35:$D$39,2,FALSE)*DE28</f>
        <v>101.40853762811126</v>
      </c>
      <c r="DF39" s="63">
        <f>VLOOKUP(DF$23,'Homes - Inputs'!$C$35:$D$39,2,FALSE)*DF28</f>
        <v>0</v>
      </c>
      <c r="DG39" s="63">
        <f>VLOOKUP(DG$23,'Homes - Inputs'!$C$35:$D$39,2,FALSE)*DG28</f>
        <v>0</v>
      </c>
      <c r="DH39" s="63">
        <f>VLOOKUP(DH$23,'Homes - Inputs'!$C$35:$D$39,2,FALSE)*DH28</f>
        <v>0</v>
      </c>
      <c r="DI39" s="63">
        <f>VLOOKUP(DI$23,'Homes - Inputs'!$C$35:$D$39,2,FALSE)*DI28</f>
        <v>0</v>
      </c>
      <c r="DJ39" s="72">
        <f t="shared" si="31"/>
        <v>101.40853762811126</v>
      </c>
      <c r="DL39" s="21" t="s">
        <v>102</v>
      </c>
      <c r="DM39" s="63">
        <f>VLOOKUP(DM$23,'Homes - Inputs'!$C$35:$D$39,2,FALSE)*DM28</f>
        <v>75.22723865300145</v>
      </c>
      <c r="DN39" s="63">
        <f>VLOOKUP(DN$23,'Homes - Inputs'!$C$35:$D$39,2,FALSE)*DN28</f>
        <v>0</v>
      </c>
      <c r="DO39" s="63">
        <f>VLOOKUP(DO$23,'Homes - Inputs'!$C$35:$D$39,2,FALSE)*DO28</f>
        <v>0</v>
      </c>
      <c r="DP39" s="63">
        <f>VLOOKUP(DP$23,'Homes - Inputs'!$C$35:$D$39,2,FALSE)*DP28</f>
        <v>0</v>
      </c>
      <c r="DQ39" s="63">
        <f>VLOOKUP(DQ$23,'Homes - Inputs'!$C$35:$D$39,2,FALSE)*DQ28</f>
        <v>0</v>
      </c>
      <c r="DR39" s="72">
        <f t="shared" si="32"/>
        <v>75.22723865300145</v>
      </c>
    </row>
    <row r="40" spans="2:122" x14ac:dyDescent="0.3">
      <c r="B40" s="197" t="s">
        <v>117</v>
      </c>
      <c r="C40" s="215">
        <f t="shared" ca="1" si="14"/>
        <v>423.58165994634345</v>
      </c>
      <c r="D40" s="63">
        <f t="shared" ca="1" si="17"/>
        <v>365.35524237679732</v>
      </c>
      <c r="E40" s="216">
        <f t="shared" ca="1" si="18"/>
        <v>307.12882480725119</v>
      </c>
      <c r="F40" s="219">
        <f t="shared" ca="1" si="15"/>
        <v>0</v>
      </c>
      <c r="G40" s="215">
        <f t="shared" ca="1" si="19"/>
        <v>423.58165994634345</v>
      </c>
      <c r="H40" s="63">
        <f t="shared" ca="1" si="33"/>
        <v>365.35524237679732</v>
      </c>
      <c r="I40" s="216">
        <f t="shared" ca="1" si="33"/>
        <v>307.12882480725119</v>
      </c>
      <c r="J40" s="215">
        <f t="shared" ca="1" si="33"/>
        <v>423.58165994634345</v>
      </c>
      <c r="K40" s="63">
        <f t="shared" ca="1" si="34"/>
        <v>365.35524237679732</v>
      </c>
      <c r="L40" s="216">
        <f t="shared" ca="1" si="16"/>
        <v>307.12882480725119</v>
      </c>
      <c r="M40" s="215">
        <f t="shared" ca="1" si="16"/>
        <v>423.58165994634345</v>
      </c>
      <c r="N40" s="63">
        <f t="shared" ca="1" si="16"/>
        <v>365.35524237679732</v>
      </c>
      <c r="O40" s="216">
        <f t="shared" ca="1" si="16"/>
        <v>307.12882480725119</v>
      </c>
      <c r="Q40" s="21" t="s">
        <v>117</v>
      </c>
      <c r="R40" s="63">
        <f>VLOOKUP(R$23,'Homes - Inputs'!$C$35:$D$39,2,FALSE)*R29</f>
        <v>407.58549809663248</v>
      </c>
      <c r="S40" s="63">
        <f>VLOOKUP(S$23,'Homes - Inputs'!$C$35:$D$39,2,FALSE)*S29</f>
        <v>15.996161849710983</v>
      </c>
      <c r="T40" s="63">
        <f>VLOOKUP(T$23,'Homes - Inputs'!$C$35:$D$39,2,FALSE)*T29</f>
        <v>0</v>
      </c>
      <c r="U40" s="63">
        <f>VLOOKUP(U$23,'Homes - Inputs'!$C$35:$D$39,2,FALSE)*U29</f>
        <v>0</v>
      </c>
      <c r="V40" s="63">
        <f>VLOOKUP(V$23,'Homes - Inputs'!$C$35:$D$39,2,FALSE)*V29</f>
        <v>0</v>
      </c>
      <c r="W40" s="72">
        <f t="shared" si="20"/>
        <v>423.58165994634345</v>
      </c>
      <c r="Z40" s="21" t="s">
        <v>117</v>
      </c>
      <c r="AA40" s="63">
        <f>VLOOKUP(AA$23,'Homes - Inputs'!$C$35:$D$39,2,FALSE)*AA29</f>
        <v>349.35908052708635</v>
      </c>
      <c r="AB40" s="63">
        <f>VLOOKUP(AB$23,'Homes - Inputs'!$C$35:$D$39,2,FALSE)*AB29</f>
        <v>15.996161849710983</v>
      </c>
      <c r="AC40" s="63">
        <f>VLOOKUP(AC$23,'Homes - Inputs'!$C$35:$D$39,2,FALSE)*AC29</f>
        <v>0</v>
      </c>
      <c r="AD40" s="63">
        <f>VLOOKUP(AD$23,'Homes - Inputs'!$C$35:$D$39,2,FALSE)*AD29</f>
        <v>0</v>
      </c>
      <c r="AE40" s="63">
        <f>VLOOKUP(AE$23,'Homes - Inputs'!$C$35:$D$39,2,FALSE)*AE29</f>
        <v>0</v>
      </c>
      <c r="AF40" s="72">
        <f t="shared" si="21"/>
        <v>365.35524237679732</v>
      </c>
      <c r="AI40" s="21" t="s">
        <v>117</v>
      </c>
      <c r="AJ40" s="63">
        <f>VLOOKUP(AJ$23,'Homes - Inputs'!$C$35:$D$39,2,FALSE)*AJ29</f>
        <v>291.13266295754022</v>
      </c>
      <c r="AK40" s="63">
        <f>VLOOKUP(AK$23,'Homes - Inputs'!$C$35:$D$39,2,FALSE)*AK29</f>
        <v>15.996161849710983</v>
      </c>
      <c r="AL40" s="63">
        <f>VLOOKUP(AL$23,'Homes - Inputs'!$C$35:$D$39,2,FALSE)*AL29</f>
        <v>0</v>
      </c>
      <c r="AM40" s="63">
        <f>VLOOKUP(AM$23,'Homes - Inputs'!$C$35:$D$39,2,FALSE)*AM29</f>
        <v>0</v>
      </c>
      <c r="AN40" s="63">
        <f>VLOOKUP(AN$23,'Homes - Inputs'!$C$35:$D$39,2,FALSE)*AN29</f>
        <v>0</v>
      </c>
      <c r="AO40" s="72">
        <f t="shared" si="22"/>
        <v>307.12882480725119</v>
      </c>
      <c r="AR40" s="21" t="s">
        <v>117</v>
      </c>
      <c r="AS40" s="63">
        <f>VLOOKUP(AS$23,'Homes - Inputs'!$C$35:$D$39,2,FALSE)*AS29</f>
        <v>1383.9080140556366</v>
      </c>
      <c r="AT40" s="63">
        <f>VLOOKUP(AT$23,'Homes - Inputs'!$C$35:$D$39,2,FALSE)*AT29</f>
        <v>87.007371868978808</v>
      </c>
      <c r="AU40" s="63">
        <f>VLOOKUP(AU$23,'Homes - Inputs'!$C$35:$D$39,2,FALSE)*AU29</f>
        <v>0</v>
      </c>
      <c r="AV40" s="63">
        <f>VLOOKUP(AV$23,'Homes - Inputs'!$C$35:$D$39,2,FALSE)*AV29</f>
        <v>0</v>
      </c>
      <c r="AW40" s="63">
        <f>VLOOKUP(AW$23,'Homes - Inputs'!$C$35:$D$39,2,FALSE)*AW29</f>
        <v>0</v>
      </c>
      <c r="AX40" s="72">
        <f t="shared" si="23"/>
        <v>1470.9153859246155</v>
      </c>
      <c r="AZ40" s="21" t="s">
        <v>117</v>
      </c>
      <c r="BA40" s="63">
        <f>VLOOKUP(BA$23,'Homes - Inputs'!$C$35:$D$39,2,FALSE)*BA29</f>
        <v>407.58549809663248</v>
      </c>
      <c r="BB40" s="63">
        <f>VLOOKUP(BB$23,'Homes - Inputs'!$C$35:$D$39,2,FALSE)*BB29</f>
        <v>15.996161849710983</v>
      </c>
      <c r="BC40" s="63">
        <f>VLOOKUP(BC$23,'Homes - Inputs'!$C$35:$D$39,2,FALSE)*BC29</f>
        <v>0</v>
      </c>
      <c r="BD40" s="63">
        <f>VLOOKUP(BD$23,'Homes - Inputs'!$C$35:$D$39,2,FALSE)*BD29</f>
        <v>0</v>
      </c>
      <c r="BE40" s="63">
        <f>VLOOKUP(BE$23,'Homes - Inputs'!$C$35:$D$39,2,FALSE)*BE29</f>
        <v>0</v>
      </c>
      <c r="BF40" s="72">
        <f t="shared" si="24"/>
        <v>423.58165994634345</v>
      </c>
      <c r="BH40" s="21" t="s">
        <v>117</v>
      </c>
      <c r="BI40" s="63">
        <f>VLOOKUP(BI$23,'Homes - Inputs'!$C$35:$D$39,2,FALSE)*BI29</f>
        <v>349.35908052708635</v>
      </c>
      <c r="BJ40" s="63">
        <f>VLOOKUP(BJ$23,'Homes - Inputs'!$C$35:$D$39,2,FALSE)*BJ29</f>
        <v>15.996161849710983</v>
      </c>
      <c r="BK40" s="63">
        <f>VLOOKUP(BK$23,'Homes - Inputs'!$C$35:$D$39,2,FALSE)*BK29</f>
        <v>0</v>
      </c>
      <c r="BL40" s="63">
        <f>VLOOKUP(BL$23,'Homes - Inputs'!$C$35:$D$39,2,FALSE)*BL29</f>
        <v>0</v>
      </c>
      <c r="BM40" s="63">
        <f>VLOOKUP(BM$23,'Homes - Inputs'!$C$35:$D$39,2,FALSE)*BM29</f>
        <v>0</v>
      </c>
      <c r="BN40" s="72">
        <f t="shared" si="25"/>
        <v>365.35524237679732</v>
      </c>
      <c r="BP40" s="21" t="s">
        <v>117</v>
      </c>
      <c r="BQ40" s="63">
        <f>VLOOKUP(BQ$23,'Homes - Inputs'!$C$35:$D$39,2,FALSE)*BQ29</f>
        <v>291.13266295754022</v>
      </c>
      <c r="BR40" s="63">
        <f>VLOOKUP(BR$23,'Homes - Inputs'!$C$35:$D$39,2,FALSE)*BR29</f>
        <v>15.996161849710983</v>
      </c>
      <c r="BS40" s="63">
        <f>VLOOKUP(BS$23,'Homes - Inputs'!$C$35:$D$39,2,FALSE)*BS29</f>
        <v>0</v>
      </c>
      <c r="BT40" s="63">
        <f>VLOOKUP(BT$23,'Homes - Inputs'!$C$35:$D$39,2,FALSE)*BT29</f>
        <v>0</v>
      </c>
      <c r="BU40" s="63">
        <f>VLOOKUP(BU$23,'Homes - Inputs'!$C$35:$D$39,2,FALSE)*BU29</f>
        <v>0</v>
      </c>
      <c r="BV40" s="72">
        <f t="shared" si="26"/>
        <v>307.12882480725119</v>
      </c>
      <c r="BX40" s="21" t="s">
        <v>117</v>
      </c>
      <c r="BY40" s="63">
        <f>VLOOKUP(BY$23,'Homes - Inputs'!$C$35:$D$39,2,FALSE)*BY29</f>
        <v>407.58549809663248</v>
      </c>
      <c r="BZ40" s="63">
        <f>VLOOKUP(BZ$23,'Homes - Inputs'!$C$35:$D$39,2,FALSE)*BZ29</f>
        <v>15.996161849710983</v>
      </c>
      <c r="CA40" s="63">
        <f>VLOOKUP(CA$23,'Homes - Inputs'!$C$35:$D$39,2,FALSE)*CA29</f>
        <v>0</v>
      </c>
      <c r="CB40" s="63">
        <f>VLOOKUP(CB$23,'Homes - Inputs'!$C$35:$D$39,2,FALSE)*CB29</f>
        <v>0</v>
      </c>
      <c r="CC40" s="63">
        <f>VLOOKUP(CC$23,'Homes - Inputs'!$C$35:$D$39,2,FALSE)*CC29</f>
        <v>0</v>
      </c>
      <c r="CD40" s="72">
        <f t="shared" si="27"/>
        <v>423.58165994634345</v>
      </c>
      <c r="CF40" s="21" t="s">
        <v>117</v>
      </c>
      <c r="CG40" s="63">
        <f>VLOOKUP(CG$23,'Homes - Inputs'!$C$35:$D$39,2,FALSE)*CG29</f>
        <v>349.35908052708635</v>
      </c>
      <c r="CH40" s="63">
        <f>VLOOKUP(CH$23,'Homes - Inputs'!$C$35:$D$39,2,FALSE)*CH29</f>
        <v>15.996161849710983</v>
      </c>
      <c r="CI40" s="63">
        <f>VLOOKUP(CI$23,'Homes - Inputs'!$C$35:$D$39,2,FALSE)*CI29</f>
        <v>0</v>
      </c>
      <c r="CJ40" s="63">
        <f>VLOOKUP(CJ$23,'Homes - Inputs'!$C$35:$D$39,2,FALSE)*CJ29</f>
        <v>0</v>
      </c>
      <c r="CK40" s="63">
        <f>VLOOKUP(CK$23,'Homes - Inputs'!$C$35:$D$39,2,FALSE)*CK29</f>
        <v>0</v>
      </c>
      <c r="CL40" s="72">
        <f t="shared" si="28"/>
        <v>365.35524237679732</v>
      </c>
      <c r="CN40" s="21" t="s">
        <v>117</v>
      </c>
      <c r="CO40" s="63">
        <f>VLOOKUP(CO$23,'Homes - Inputs'!$C$35:$D$39,2,FALSE)*CO29</f>
        <v>291.13266295754022</v>
      </c>
      <c r="CP40" s="63">
        <f>VLOOKUP(CP$23,'Homes - Inputs'!$C$35:$D$39,2,FALSE)*CP29</f>
        <v>15.996161849710983</v>
      </c>
      <c r="CQ40" s="63">
        <f>VLOOKUP(CQ$23,'Homes - Inputs'!$C$35:$D$39,2,FALSE)*CQ29</f>
        <v>0</v>
      </c>
      <c r="CR40" s="63">
        <f>VLOOKUP(CR$23,'Homes - Inputs'!$C$35:$D$39,2,FALSE)*CR29</f>
        <v>0</v>
      </c>
      <c r="CS40" s="63">
        <f>VLOOKUP(CS$23,'Homes - Inputs'!$C$35:$D$39,2,FALSE)*CS29</f>
        <v>0</v>
      </c>
      <c r="CT40" s="72">
        <f t="shared" si="29"/>
        <v>307.12882480725119</v>
      </c>
      <c r="CV40" s="21" t="s">
        <v>117</v>
      </c>
      <c r="CW40" s="63">
        <f>VLOOKUP(CW$23,'Homes - Inputs'!$C$35:$D$39,2,FALSE)*CW29</f>
        <v>407.58549809663248</v>
      </c>
      <c r="CX40" s="63">
        <f>VLOOKUP(CX$23,'Homes - Inputs'!$C$35:$D$39,2,FALSE)*CX29</f>
        <v>15.996161849710983</v>
      </c>
      <c r="CY40" s="63">
        <f>VLOOKUP(CY$23,'Homes - Inputs'!$C$35:$D$39,2,FALSE)*CY29</f>
        <v>0</v>
      </c>
      <c r="CZ40" s="63">
        <f>VLOOKUP(CZ$23,'Homes - Inputs'!$C$35:$D$39,2,FALSE)*CZ29</f>
        <v>0</v>
      </c>
      <c r="DA40" s="63">
        <f>VLOOKUP(DA$23,'Homes - Inputs'!$C$35:$D$39,2,FALSE)*DA29</f>
        <v>0</v>
      </c>
      <c r="DB40" s="72">
        <f t="shared" si="30"/>
        <v>423.58165994634345</v>
      </c>
      <c r="DD40" s="21" t="s">
        <v>117</v>
      </c>
      <c r="DE40" s="63">
        <f>VLOOKUP(DE$23,'Homes - Inputs'!$C$35:$D$39,2,FALSE)*DE29</f>
        <v>349.35908052708635</v>
      </c>
      <c r="DF40" s="63">
        <f>VLOOKUP(DF$23,'Homes - Inputs'!$C$35:$D$39,2,FALSE)*DF29</f>
        <v>15.996161849710983</v>
      </c>
      <c r="DG40" s="63">
        <f>VLOOKUP(DG$23,'Homes - Inputs'!$C$35:$D$39,2,FALSE)*DG29</f>
        <v>0</v>
      </c>
      <c r="DH40" s="63">
        <f>VLOOKUP(DH$23,'Homes - Inputs'!$C$35:$D$39,2,FALSE)*DH29</f>
        <v>0</v>
      </c>
      <c r="DI40" s="63">
        <f>VLOOKUP(DI$23,'Homes - Inputs'!$C$35:$D$39,2,FALSE)*DI29</f>
        <v>0</v>
      </c>
      <c r="DJ40" s="72">
        <f t="shared" si="31"/>
        <v>365.35524237679732</v>
      </c>
      <c r="DL40" s="21" t="s">
        <v>117</v>
      </c>
      <c r="DM40" s="63">
        <f>VLOOKUP(DM$23,'Homes - Inputs'!$C$35:$D$39,2,FALSE)*DM29</f>
        <v>291.13266295754022</v>
      </c>
      <c r="DN40" s="63">
        <f>VLOOKUP(DN$23,'Homes - Inputs'!$C$35:$D$39,2,FALSE)*DN29</f>
        <v>15.996161849710983</v>
      </c>
      <c r="DO40" s="63">
        <f>VLOOKUP(DO$23,'Homes - Inputs'!$C$35:$D$39,2,FALSE)*DO29</f>
        <v>0</v>
      </c>
      <c r="DP40" s="63">
        <f>VLOOKUP(DP$23,'Homes - Inputs'!$C$35:$D$39,2,FALSE)*DP29</f>
        <v>0</v>
      </c>
      <c r="DQ40" s="63">
        <f>VLOOKUP(DQ$23,'Homes - Inputs'!$C$35:$D$39,2,FALSE)*DQ29</f>
        <v>0</v>
      </c>
      <c r="DR40" s="72">
        <f t="shared" si="32"/>
        <v>307.12882480725119</v>
      </c>
    </row>
    <row r="41" spans="2:122" x14ac:dyDescent="0.3">
      <c r="B41" s="197" t="s">
        <v>95</v>
      </c>
      <c r="C41" s="215">
        <f t="shared" ca="1" si="14"/>
        <v>62.600285163776491</v>
      </c>
      <c r="D41" s="63">
        <f t="shared" ca="1" si="17"/>
        <v>52.164007707129095</v>
      </c>
      <c r="E41" s="216">
        <f t="shared" ca="1" si="18"/>
        <v>45.901672447013482</v>
      </c>
      <c r="F41" s="219">
        <f t="shared" ca="1" si="15"/>
        <v>0</v>
      </c>
      <c r="G41" s="215">
        <f t="shared" ca="1" si="19"/>
        <v>62.594123314065513</v>
      </c>
      <c r="H41" s="63">
        <f t="shared" ca="1" si="33"/>
        <v>52.161795761078999</v>
      </c>
      <c r="I41" s="216">
        <f t="shared" ca="1" si="33"/>
        <v>45.901672447013482</v>
      </c>
      <c r="J41" s="215">
        <f t="shared" ca="1" si="33"/>
        <v>62.619876685934493</v>
      </c>
      <c r="K41" s="63">
        <f t="shared" ca="1" si="34"/>
        <v>52.165824662813108</v>
      </c>
      <c r="L41" s="216">
        <f t="shared" ca="1" si="16"/>
        <v>45.904990366088633</v>
      </c>
      <c r="M41" s="215">
        <f t="shared" ca="1" si="16"/>
        <v>62.679046242774568</v>
      </c>
      <c r="N41" s="63">
        <f t="shared" ca="1" si="16"/>
        <v>52.166219653179191</v>
      </c>
      <c r="O41" s="216">
        <f t="shared" ca="1" si="16"/>
        <v>45.904990366088633</v>
      </c>
      <c r="Q41" s="21" t="s">
        <v>95</v>
      </c>
      <c r="R41" s="63">
        <f>VLOOKUP(R$23,'Homes - Inputs'!$C$35:$D$39,2,FALSE)*R30</f>
        <v>0</v>
      </c>
      <c r="S41" s="63">
        <f>VLOOKUP(S$23,'Homes - Inputs'!$C$35:$D$39,2,FALSE)*S30</f>
        <v>62.600285163776491</v>
      </c>
      <c r="T41" s="63">
        <f>VLOOKUP(T$23,'Homes - Inputs'!$C$35:$D$39,2,FALSE)*T30</f>
        <v>0</v>
      </c>
      <c r="U41" s="63">
        <f>VLOOKUP(U$23,'Homes - Inputs'!$C$35:$D$39,2,FALSE)*U30</f>
        <v>0</v>
      </c>
      <c r="V41" s="63">
        <f>VLOOKUP(V$23,'Homes - Inputs'!$C$35:$D$39,2,FALSE)*V30</f>
        <v>0</v>
      </c>
      <c r="W41" s="72">
        <f t="shared" si="20"/>
        <v>62.600285163776491</v>
      </c>
      <c r="Z41" s="21" t="s">
        <v>95</v>
      </c>
      <c r="AA41" s="63">
        <f>VLOOKUP(AA$23,'Homes - Inputs'!$C$35:$D$39,2,FALSE)*AA30</f>
        <v>0</v>
      </c>
      <c r="AB41" s="63">
        <f>VLOOKUP(AB$23,'Homes - Inputs'!$C$35:$D$39,2,FALSE)*AB30</f>
        <v>52.164007707129095</v>
      </c>
      <c r="AC41" s="63">
        <f>VLOOKUP(AC$23,'Homes - Inputs'!$C$35:$D$39,2,FALSE)*AC30</f>
        <v>0</v>
      </c>
      <c r="AD41" s="63">
        <f>VLOOKUP(AD$23,'Homes - Inputs'!$C$35:$D$39,2,FALSE)*AD30</f>
        <v>0</v>
      </c>
      <c r="AE41" s="63">
        <f>VLOOKUP(AE$23,'Homes - Inputs'!$C$35:$D$39,2,FALSE)*AE30</f>
        <v>0</v>
      </c>
      <c r="AF41" s="72">
        <f t="shared" si="21"/>
        <v>52.164007707129095</v>
      </c>
      <c r="AI41" s="21" t="s">
        <v>95</v>
      </c>
      <c r="AJ41" s="63">
        <f>VLOOKUP(AJ$23,'Homes - Inputs'!$C$35:$D$39,2,FALSE)*AJ30</f>
        <v>0</v>
      </c>
      <c r="AK41" s="63">
        <f>VLOOKUP(AK$23,'Homes - Inputs'!$C$35:$D$39,2,FALSE)*AK30</f>
        <v>45.901672447013482</v>
      </c>
      <c r="AL41" s="63">
        <f>VLOOKUP(AL$23,'Homes - Inputs'!$C$35:$D$39,2,FALSE)*AL30</f>
        <v>0</v>
      </c>
      <c r="AM41" s="63">
        <f>VLOOKUP(AM$23,'Homes - Inputs'!$C$35:$D$39,2,FALSE)*AM30</f>
        <v>0</v>
      </c>
      <c r="AN41" s="63">
        <f>VLOOKUP(AN$23,'Homes - Inputs'!$C$35:$D$39,2,FALSE)*AN30</f>
        <v>0</v>
      </c>
      <c r="AO41" s="72">
        <f t="shared" si="22"/>
        <v>45.901672447013482</v>
      </c>
      <c r="AR41" s="21" t="s">
        <v>95</v>
      </c>
      <c r="AS41" s="63">
        <f>VLOOKUP(AS$23,'Homes - Inputs'!$C$35:$D$39,2,FALSE)*AS30</f>
        <v>0</v>
      </c>
      <c r="AT41" s="63">
        <f>VLOOKUP(AT$23,'Homes - Inputs'!$C$35:$D$39,2,FALSE)*AT30</f>
        <v>162.51610019267824</v>
      </c>
      <c r="AU41" s="63">
        <f>VLOOKUP(AU$23,'Homes - Inputs'!$C$35:$D$39,2,FALSE)*AU30</f>
        <v>0</v>
      </c>
      <c r="AV41" s="63">
        <f>VLOOKUP(AV$23,'Homes - Inputs'!$C$35:$D$39,2,FALSE)*AV30</f>
        <v>0</v>
      </c>
      <c r="AW41" s="63">
        <f>VLOOKUP(AW$23,'Homes - Inputs'!$C$35:$D$39,2,FALSE)*AW30</f>
        <v>0</v>
      </c>
      <c r="AX41" s="72">
        <f t="shared" si="23"/>
        <v>162.51610019267824</v>
      </c>
      <c r="AZ41" s="21" t="s">
        <v>95</v>
      </c>
      <c r="BA41" s="63">
        <f>VLOOKUP(BA$23,'Homes - Inputs'!$C$35:$D$39,2,FALSE)*BA30</f>
        <v>0</v>
      </c>
      <c r="BB41" s="63">
        <f>VLOOKUP(BB$23,'Homes - Inputs'!$C$35:$D$39,2,FALSE)*BB30</f>
        <v>62.594123314065513</v>
      </c>
      <c r="BC41" s="63">
        <f>VLOOKUP(BC$23,'Homes - Inputs'!$C$35:$D$39,2,FALSE)*BC30</f>
        <v>0</v>
      </c>
      <c r="BD41" s="63">
        <f>VLOOKUP(BD$23,'Homes - Inputs'!$C$35:$D$39,2,FALSE)*BD30</f>
        <v>0</v>
      </c>
      <c r="BE41" s="63">
        <f>VLOOKUP(BE$23,'Homes - Inputs'!$C$35:$D$39,2,FALSE)*BE30</f>
        <v>0</v>
      </c>
      <c r="BF41" s="72">
        <f t="shared" si="24"/>
        <v>62.594123314065513</v>
      </c>
      <c r="BH41" s="21" t="s">
        <v>95</v>
      </c>
      <c r="BI41" s="63">
        <f>VLOOKUP(BI$23,'Homes - Inputs'!$C$35:$D$39,2,FALSE)*BI30</f>
        <v>0</v>
      </c>
      <c r="BJ41" s="63">
        <f>VLOOKUP(BJ$23,'Homes - Inputs'!$C$35:$D$39,2,FALSE)*BJ30</f>
        <v>52.161795761078999</v>
      </c>
      <c r="BK41" s="63">
        <f>VLOOKUP(BK$23,'Homes - Inputs'!$C$35:$D$39,2,FALSE)*BK30</f>
        <v>0</v>
      </c>
      <c r="BL41" s="63">
        <f>VLOOKUP(BL$23,'Homes - Inputs'!$C$35:$D$39,2,FALSE)*BL30</f>
        <v>0</v>
      </c>
      <c r="BM41" s="63">
        <f>VLOOKUP(BM$23,'Homes - Inputs'!$C$35:$D$39,2,FALSE)*BM30</f>
        <v>0</v>
      </c>
      <c r="BN41" s="72">
        <f t="shared" si="25"/>
        <v>52.161795761078999</v>
      </c>
      <c r="BP41" s="21" t="s">
        <v>95</v>
      </c>
      <c r="BQ41" s="63">
        <f>VLOOKUP(BQ$23,'Homes - Inputs'!$C$35:$D$39,2,FALSE)*BQ30</f>
        <v>0</v>
      </c>
      <c r="BR41" s="63">
        <f>VLOOKUP(BR$23,'Homes - Inputs'!$C$35:$D$39,2,FALSE)*BR30</f>
        <v>45.901672447013482</v>
      </c>
      <c r="BS41" s="63">
        <f>VLOOKUP(BS$23,'Homes - Inputs'!$C$35:$D$39,2,FALSE)*BS30</f>
        <v>0</v>
      </c>
      <c r="BT41" s="63">
        <f>VLOOKUP(BT$23,'Homes - Inputs'!$C$35:$D$39,2,FALSE)*BT30</f>
        <v>0</v>
      </c>
      <c r="BU41" s="63">
        <f>VLOOKUP(BU$23,'Homes - Inputs'!$C$35:$D$39,2,FALSE)*BU30</f>
        <v>0</v>
      </c>
      <c r="BV41" s="72">
        <f t="shared" si="26"/>
        <v>45.901672447013482</v>
      </c>
      <c r="BX41" s="21" t="s">
        <v>95</v>
      </c>
      <c r="BY41" s="63">
        <f>VLOOKUP(BY$23,'Homes - Inputs'!$C$35:$D$39,2,FALSE)*BY30</f>
        <v>0</v>
      </c>
      <c r="BZ41" s="63">
        <f>VLOOKUP(BZ$23,'Homes - Inputs'!$C$35:$D$39,2,FALSE)*BZ30</f>
        <v>62.619876685934493</v>
      </c>
      <c r="CA41" s="63">
        <f>VLOOKUP(CA$23,'Homes - Inputs'!$C$35:$D$39,2,FALSE)*CA30</f>
        <v>0</v>
      </c>
      <c r="CB41" s="63">
        <f>VLOOKUP(CB$23,'Homes - Inputs'!$C$35:$D$39,2,FALSE)*CB30</f>
        <v>0</v>
      </c>
      <c r="CC41" s="63">
        <f>VLOOKUP(CC$23,'Homes - Inputs'!$C$35:$D$39,2,FALSE)*CC30</f>
        <v>0</v>
      </c>
      <c r="CD41" s="72">
        <f t="shared" si="27"/>
        <v>62.619876685934493</v>
      </c>
      <c r="CF41" s="21" t="s">
        <v>95</v>
      </c>
      <c r="CG41" s="63">
        <f>VLOOKUP(CG$23,'Homes - Inputs'!$C$35:$D$39,2,FALSE)*CG30</f>
        <v>0</v>
      </c>
      <c r="CH41" s="63">
        <f>VLOOKUP(CH$23,'Homes - Inputs'!$C$35:$D$39,2,FALSE)*CH30</f>
        <v>52.165824662813108</v>
      </c>
      <c r="CI41" s="63">
        <f>VLOOKUP(CI$23,'Homes - Inputs'!$C$35:$D$39,2,FALSE)*CI30</f>
        <v>0</v>
      </c>
      <c r="CJ41" s="63">
        <f>VLOOKUP(CJ$23,'Homes - Inputs'!$C$35:$D$39,2,FALSE)*CJ30</f>
        <v>0</v>
      </c>
      <c r="CK41" s="63">
        <f>VLOOKUP(CK$23,'Homes - Inputs'!$C$35:$D$39,2,FALSE)*CK30</f>
        <v>0</v>
      </c>
      <c r="CL41" s="72">
        <f t="shared" si="28"/>
        <v>52.165824662813108</v>
      </c>
      <c r="CN41" s="21" t="s">
        <v>95</v>
      </c>
      <c r="CO41" s="63">
        <f>VLOOKUP(CO$23,'Homes - Inputs'!$C$35:$D$39,2,FALSE)*CO30</f>
        <v>0</v>
      </c>
      <c r="CP41" s="63">
        <f>VLOOKUP(CP$23,'Homes - Inputs'!$C$35:$D$39,2,FALSE)*CP30</f>
        <v>45.904990366088633</v>
      </c>
      <c r="CQ41" s="63">
        <f>VLOOKUP(CQ$23,'Homes - Inputs'!$C$35:$D$39,2,FALSE)*CQ30</f>
        <v>0</v>
      </c>
      <c r="CR41" s="63">
        <f>VLOOKUP(CR$23,'Homes - Inputs'!$C$35:$D$39,2,FALSE)*CR30</f>
        <v>0</v>
      </c>
      <c r="CS41" s="63">
        <f>VLOOKUP(CS$23,'Homes - Inputs'!$C$35:$D$39,2,FALSE)*CS30</f>
        <v>0</v>
      </c>
      <c r="CT41" s="72">
        <f t="shared" si="29"/>
        <v>45.904990366088633</v>
      </c>
      <c r="CV41" s="21" t="s">
        <v>95</v>
      </c>
      <c r="CW41" s="63">
        <f>VLOOKUP(CW$23,'Homes - Inputs'!$C$35:$D$39,2,FALSE)*CW30</f>
        <v>0</v>
      </c>
      <c r="CX41" s="63">
        <f>VLOOKUP(CX$23,'Homes - Inputs'!$C$35:$D$39,2,FALSE)*CX30</f>
        <v>62.679046242774568</v>
      </c>
      <c r="CY41" s="63">
        <f>VLOOKUP(CY$23,'Homes - Inputs'!$C$35:$D$39,2,FALSE)*CY30</f>
        <v>0</v>
      </c>
      <c r="CZ41" s="63">
        <f>VLOOKUP(CZ$23,'Homes - Inputs'!$C$35:$D$39,2,FALSE)*CZ30</f>
        <v>0</v>
      </c>
      <c r="DA41" s="63">
        <f>VLOOKUP(DA$23,'Homes - Inputs'!$C$35:$D$39,2,FALSE)*DA30</f>
        <v>0</v>
      </c>
      <c r="DB41" s="72">
        <f t="shared" si="30"/>
        <v>62.679046242774568</v>
      </c>
      <c r="DD41" s="21" t="s">
        <v>95</v>
      </c>
      <c r="DE41" s="63">
        <f>VLOOKUP(DE$23,'Homes - Inputs'!$C$35:$D$39,2,FALSE)*DE30</f>
        <v>0</v>
      </c>
      <c r="DF41" s="63">
        <f>VLOOKUP(DF$23,'Homes - Inputs'!$C$35:$D$39,2,FALSE)*DF30</f>
        <v>52.166219653179191</v>
      </c>
      <c r="DG41" s="63">
        <f>VLOOKUP(DG$23,'Homes - Inputs'!$C$35:$D$39,2,FALSE)*DG30</f>
        <v>0</v>
      </c>
      <c r="DH41" s="63">
        <f>VLOOKUP(DH$23,'Homes - Inputs'!$C$35:$D$39,2,FALSE)*DH30</f>
        <v>0</v>
      </c>
      <c r="DI41" s="63">
        <f>VLOOKUP(DI$23,'Homes - Inputs'!$C$35:$D$39,2,FALSE)*DI30</f>
        <v>0</v>
      </c>
      <c r="DJ41" s="72">
        <f t="shared" si="31"/>
        <v>52.166219653179191</v>
      </c>
      <c r="DL41" s="21" t="s">
        <v>95</v>
      </c>
      <c r="DM41" s="63">
        <f>VLOOKUP(DM$23,'Homes - Inputs'!$C$35:$D$39,2,FALSE)*DM30</f>
        <v>0</v>
      </c>
      <c r="DN41" s="63">
        <f>VLOOKUP(DN$23,'Homes - Inputs'!$C$35:$D$39,2,FALSE)*DN30</f>
        <v>45.904990366088633</v>
      </c>
      <c r="DO41" s="63">
        <f>VLOOKUP(DO$23,'Homes - Inputs'!$C$35:$D$39,2,FALSE)*DO30</f>
        <v>0</v>
      </c>
      <c r="DP41" s="63">
        <f>VLOOKUP(DP$23,'Homes - Inputs'!$C$35:$D$39,2,FALSE)*DP30</f>
        <v>0</v>
      </c>
      <c r="DQ41" s="63">
        <f>VLOOKUP(DQ$23,'Homes - Inputs'!$C$35:$D$39,2,FALSE)*DQ30</f>
        <v>0</v>
      </c>
      <c r="DR41" s="72">
        <f t="shared" si="32"/>
        <v>45.904990366088633</v>
      </c>
    </row>
    <row r="42" spans="2:122" ht="12.9" thickBot="1" x14ac:dyDescent="0.35">
      <c r="B42" s="213" t="s">
        <v>120</v>
      </c>
      <c r="C42" s="217">
        <f t="shared" ca="1" si="14"/>
        <v>2113.9398841696357</v>
      </c>
      <c r="D42" s="106">
        <f t="shared" ca="1" si="17"/>
        <v>1652.3740298907967</v>
      </c>
      <c r="E42" s="218">
        <f t="shared" ca="1" si="18"/>
        <v>1322.0343127627461</v>
      </c>
      <c r="F42" s="220">
        <f t="shared" ca="1" si="15"/>
        <v>0</v>
      </c>
      <c r="G42" s="217">
        <f ca="1">OFFSET($Q42,0,(9+8*G$22))</f>
        <v>1867.5110267272628</v>
      </c>
      <c r="H42" s="106">
        <f t="shared" ca="1" si="33"/>
        <v>1554.2545590004427</v>
      </c>
      <c r="I42" s="218">
        <f t="shared" ca="1" si="33"/>
        <v>1322.0343127627461</v>
      </c>
      <c r="J42" s="217">
        <f t="shared" ca="1" si="33"/>
        <v>1902.9195653292031</v>
      </c>
      <c r="K42" s="106">
        <f t="shared" ca="1" si="34"/>
        <v>1507.902236000079</v>
      </c>
      <c r="L42" s="218">
        <f t="shared" ca="1" si="16"/>
        <v>1196.8504558761215</v>
      </c>
      <c r="M42" s="217">
        <f t="shared" ca="1" si="16"/>
        <v>1671.8484285902894</v>
      </c>
      <c r="N42" s="106">
        <f t="shared" ca="1" si="16"/>
        <v>1399.283366568776</v>
      </c>
      <c r="O42" s="218">
        <f t="shared" ca="1" si="16"/>
        <v>1196.8504558761215</v>
      </c>
      <c r="Q42" s="92" t="s">
        <v>120</v>
      </c>
      <c r="R42" s="63">
        <f>VLOOKUP(R23,'Homes - Inputs'!$C$35:$D$39,2,FALSE)*R31</f>
        <v>1452.3098494875549</v>
      </c>
      <c r="S42" s="63">
        <f>VLOOKUP(S23,'Homes - Inputs'!$C$35:$D$39,2,FALSE)*S31</f>
        <v>661.63003468208103</v>
      </c>
      <c r="T42" s="63">
        <f>VLOOKUP(T23,'Homes - Inputs'!$C$35:$D$39,2,FALSE)*T31</f>
        <v>0</v>
      </c>
      <c r="U42" s="63">
        <f>VLOOKUP(U23,'Homes - Inputs'!$C$35:$D$39,2,FALSE)*U31</f>
        <v>0</v>
      </c>
      <c r="V42" s="63">
        <f>VLOOKUP(V23,'Homes - Inputs'!$C$35:$D$39,2,FALSE)*V31</f>
        <v>0</v>
      </c>
      <c r="W42" s="72">
        <f t="shared" si="20"/>
        <v>2113.9398841696357</v>
      </c>
      <c r="Z42" s="92" t="s">
        <v>120</v>
      </c>
      <c r="AA42" s="63">
        <f>VLOOKUP(AA23,'Homes - Inputs'!$C$35:$D$39,2,FALSE)*AA31</f>
        <v>1128.1658834553439</v>
      </c>
      <c r="AB42" s="63">
        <f>VLOOKUP(AB23,'Homes - Inputs'!$C$35:$D$39,2,FALSE)*AB31</f>
        <v>524.20814643545282</v>
      </c>
      <c r="AC42" s="63">
        <f>VLOOKUP(AC23,'Homes - Inputs'!$C$35:$D$39,2,FALSE)*AC31</f>
        <v>0</v>
      </c>
      <c r="AD42" s="63">
        <f>VLOOKUP(AD23,'Homes - Inputs'!$C$35:$D$39,2,FALSE)*AD31</f>
        <v>0</v>
      </c>
      <c r="AE42" s="63">
        <f>VLOOKUP(AE23,'Homes - Inputs'!$C$35:$D$39,2,FALSE)*AE31</f>
        <v>0</v>
      </c>
      <c r="AF42" s="72">
        <f t="shared" si="21"/>
        <v>1652.3740298907967</v>
      </c>
      <c r="AI42" s="92" t="s">
        <v>120</v>
      </c>
      <c r="AJ42" s="63">
        <f>VLOOKUP(AJ23,'Homes - Inputs'!$C$35:$D$39,2,FALSE)*AJ31</f>
        <v>909.864551683748</v>
      </c>
      <c r="AK42" s="63">
        <f>VLOOKUP(AK23,'Homes - Inputs'!$C$35:$D$39,2,FALSE)*AK31</f>
        <v>412.16976107899808</v>
      </c>
      <c r="AL42" s="63">
        <f>VLOOKUP(AL23,'Homes - Inputs'!$C$35:$D$39,2,FALSE)*AL31</f>
        <v>0</v>
      </c>
      <c r="AM42" s="63">
        <f>VLOOKUP(AM23,'Homes - Inputs'!$C$35:$D$39,2,FALSE)*AM31</f>
        <v>0</v>
      </c>
      <c r="AN42" s="63">
        <f>VLOOKUP(AN23,'Homes - Inputs'!$C$35:$D$39,2,FALSE)*AN31</f>
        <v>0</v>
      </c>
      <c r="AO42" s="72">
        <f t="shared" si="22"/>
        <v>1322.0343127627461</v>
      </c>
      <c r="AR42" s="92" t="s">
        <v>120</v>
      </c>
      <c r="AS42" s="63">
        <f>VLOOKUP(AS23,'Homes - Inputs'!$C$35:$D$39,2,FALSE)*AS31</f>
        <v>2391.6827103953142</v>
      </c>
      <c r="AT42" s="63">
        <f>VLOOKUP(AT23,'Homes - Inputs'!$C$35:$D$39,2,FALSE)*AT31</f>
        <v>1367.4428227360311</v>
      </c>
      <c r="AU42" s="63">
        <f>VLOOKUP(AU23,'Homes - Inputs'!$C$35:$D$39,2,FALSE)*AU31</f>
        <v>0</v>
      </c>
      <c r="AV42" s="63">
        <f>VLOOKUP(AV23,'Homes - Inputs'!$C$35:$D$39,2,FALSE)*AV31</f>
        <v>0</v>
      </c>
      <c r="AW42" s="63">
        <f>VLOOKUP(AW23,'Homes - Inputs'!$C$35:$D$39,2,FALSE)*AW31</f>
        <v>0</v>
      </c>
      <c r="AX42" s="72">
        <f t="shared" si="23"/>
        <v>3759.125533131345</v>
      </c>
      <c r="AZ42" s="92" t="s">
        <v>120</v>
      </c>
      <c r="BA42" s="63">
        <f>VLOOKUP(BA23,'Homes - Inputs'!$C$35:$D$39,2,FALSE)*BA31</f>
        <v>1328.3547068814055</v>
      </c>
      <c r="BB42" s="63">
        <f>VLOOKUP(BB23,'Homes - Inputs'!$C$35:$D$39,2,FALSE)*BB31</f>
        <v>539.1563198458573</v>
      </c>
      <c r="BC42" s="63">
        <f>VLOOKUP(BC23,'Homes - Inputs'!$C$35:$D$39,2,FALSE)*BC31</f>
        <v>0</v>
      </c>
      <c r="BD42" s="63">
        <f>VLOOKUP(BD23,'Homes - Inputs'!$C$35:$D$39,2,FALSE)*BD31</f>
        <v>0</v>
      </c>
      <c r="BE42" s="63">
        <f>VLOOKUP(BE23,'Homes - Inputs'!$C$35:$D$39,2,FALSE)*BE31</f>
        <v>0</v>
      </c>
      <c r="BF42" s="72">
        <f t="shared" si="24"/>
        <v>1867.5110267272628</v>
      </c>
      <c r="BH42" s="92" t="s">
        <v>120</v>
      </c>
      <c r="BI42" s="63">
        <f>VLOOKUP(BI23,'Homes - Inputs'!$C$35:$D$39,2,FALSE)*BI31</f>
        <v>1083.2618846266469</v>
      </c>
      <c r="BJ42" s="63">
        <f>VLOOKUP(BJ23,'Homes - Inputs'!$C$35:$D$39,2,FALSE)*BJ31</f>
        <v>470.99267437379575</v>
      </c>
      <c r="BK42" s="63">
        <f>VLOOKUP(BK23,'Homes - Inputs'!$C$35:$D$39,2,FALSE)*BK31</f>
        <v>0</v>
      </c>
      <c r="BL42" s="63">
        <f>VLOOKUP(BL23,'Homes - Inputs'!$C$35:$D$39,2,FALSE)*BL31</f>
        <v>0</v>
      </c>
      <c r="BM42" s="63">
        <f>VLOOKUP(BM23,'Homes - Inputs'!$C$35:$D$39,2,FALSE)*BM31</f>
        <v>0</v>
      </c>
      <c r="BN42" s="72">
        <f t="shared" si="25"/>
        <v>1554.2545590004427</v>
      </c>
      <c r="BP42" s="92" t="s">
        <v>120</v>
      </c>
      <c r="BQ42" s="63">
        <f>VLOOKUP(BQ23,'Homes - Inputs'!$C$35:$D$39,2,FALSE)*BQ31</f>
        <v>909.864551683748</v>
      </c>
      <c r="BR42" s="63">
        <f>VLOOKUP(BR23,'Homes - Inputs'!$C$35:$D$39,2,FALSE)*BR31</f>
        <v>412.16976107899808</v>
      </c>
      <c r="BS42" s="63">
        <f>VLOOKUP(BS23,'Homes - Inputs'!$C$35:$D$39,2,FALSE)*BS31</f>
        <v>0</v>
      </c>
      <c r="BT42" s="63">
        <f>VLOOKUP(BT23,'Homes - Inputs'!$C$35:$D$39,2,FALSE)*BT31</f>
        <v>0</v>
      </c>
      <c r="BU42" s="63">
        <f>VLOOKUP(BU23,'Homes - Inputs'!$C$35:$D$39,2,FALSE)*BU31</f>
        <v>0</v>
      </c>
      <c r="BV42" s="72">
        <f t="shared" si="26"/>
        <v>1322.0343127627461</v>
      </c>
      <c r="BX42" s="92" t="s">
        <v>120</v>
      </c>
      <c r="BY42" s="63">
        <f>VLOOKUP(BY23,'Homes - Inputs'!$C$35:$D$39,2,FALSE)*BY31</f>
        <v>1824.3035267935577</v>
      </c>
      <c r="BZ42" s="63">
        <f>VLOOKUP(BZ23,'Homes - Inputs'!$C$35:$D$39,2,FALSE)*BZ31</f>
        <v>78.616038535645473</v>
      </c>
      <c r="CA42" s="63">
        <f>VLOOKUP(CA23,'Homes - Inputs'!$C$35:$D$39,2,FALSE)*CA31</f>
        <v>0</v>
      </c>
      <c r="CB42" s="63">
        <f>VLOOKUP(CB23,'Homes - Inputs'!$C$35:$D$39,2,FALSE)*CB31</f>
        <v>0</v>
      </c>
      <c r="CC42" s="63">
        <f>VLOOKUP(CC23,'Homes - Inputs'!$C$35:$D$39,2,FALSE)*CC31</f>
        <v>0</v>
      </c>
      <c r="CD42" s="72">
        <f t="shared" si="27"/>
        <v>1902.9195653292031</v>
      </c>
      <c r="CF42" s="92" t="s">
        <v>120</v>
      </c>
      <c r="CG42" s="63">
        <f>VLOOKUP(CG23,'Homes - Inputs'!$C$35:$D$39,2,FALSE)*CG31</f>
        <v>1439.7402494875548</v>
      </c>
      <c r="CH42" s="63">
        <f>VLOOKUP(CH23,'Homes - Inputs'!$C$35:$D$39,2,FALSE)*CH31</f>
        <v>68.161986512524095</v>
      </c>
      <c r="CI42" s="63">
        <f>VLOOKUP(CI23,'Homes - Inputs'!$C$35:$D$39,2,FALSE)*CI31</f>
        <v>0</v>
      </c>
      <c r="CJ42" s="63">
        <f>VLOOKUP(CJ23,'Homes - Inputs'!$C$35:$D$39,2,FALSE)*CJ31</f>
        <v>0</v>
      </c>
      <c r="CK42" s="63">
        <f>VLOOKUP(CK23,'Homes - Inputs'!$C$35:$D$39,2,FALSE)*CK31</f>
        <v>0</v>
      </c>
      <c r="CL42" s="72">
        <f t="shared" si="28"/>
        <v>1507.902236000079</v>
      </c>
      <c r="CN42" s="92" t="s">
        <v>120</v>
      </c>
      <c r="CO42" s="63">
        <f>VLOOKUP(CO23,'Homes - Inputs'!$C$35:$D$39,2,FALSE)*CO31</f>
        <v>1134.9493036603219</v>
      </c>
      <c r="CP42" s="63">
        <f>VLOOKUP(CP23,'Homes - Inputs'!$C$35:$D$39,2,FALSE)*CP31</f>
        <v>61.901152215799613</v>
      </c>
      <c r="CQ42" s="63">
        <f>VLOOKUP(CQ23,'Homes - Inputs'!$C$35:$D$39,2,FALSE)*CQ31</f>
        <v>0</v>
      </c>
      <c r="CR42" s="63">
        <f>VLOOKUP(CR23,'Homes - Inputs'!$C$35:$D$39,2,FALSE)*CR31</f>
        <v>0</v>
      </c>
      <c r="CS42" s="63">
        <f>VLOOKUP(CS23,'Homes - Inputs'!$C$35:$D$39,2,FALSE)*CS31</f>
        <v>0</v>
      </c>
      <c r="CT42" s="72">
        <f t="shared" si="29"/>
        <v>1196.8504558761215</v>
      </c>
      <c r="CV42" s="92" t="s">
        <v>120</v>
      </c>
      <c r="CW42" s="63">
        <f>VLOOKUP(CW23,'Homes - Inputs'!$C$35:$D$39,2,FALSE)*CW31</f>
        <v>1593.1732204978039</v>
      </c>
      <c r="CX42" s="63">
        <f>VLOOKUP(CX23,'Homes - Inputs'!$C$35:$D$39,2,FALSE)*CX31</f>
        <v>78.675208092485562</v>
      </c>
      <c r="CY42" s="63">
        <f>VLOOKUP(CY23,'Homes - Inputs'!$C$35:$D$39,2,FALSE)*CY31</f>
        <v>0</v>
      </c>
      <c r="CZ42" s="63">
        <f>VLOOKUP(CZ23,'Homes - Inputs'!$C$35:$D$39,2,FALSE)*CZ31</f>
        <v>0</v>
      </c>
      <c r="DA42" s="63">
        <f>VLOOKUP(DA23,'Homes - Inputs'!$C$35:$D$39,2,FALSE)*DA31</f>
        <v>0</v>
      </c>
      <c r="DB42" s="72">
        <f t="shared" si="30"/>
        <v>1671.8484285902894</v>
      </c>
      <c r="DD42" s="92" t="s">
        <v>120</v>
      </c>
      <c r="DE42" s="63">
        <f>VLOOKUP(DE23,'Homes - Inputs'!$C$35:$D$39,2,FALSE)*DE31</f>
        <v>1331.1209850658859</v>
      </c>
      <c r="DF42" s="63">
        <f>VLOOKUP(DF23,'Homes - Inputs'!$C$35:$D$39,2,FALSE)*DF31</f>
        <v>68.162381502890184</v>
      </c>
      <c r="DG42" s="63">
        <f>VLOOKUP(DG23,'Homes - Inputs'!$C$35:$D$39,2,FALSE)*DG31</f>
        <v>0</v>
      </c>
      <c r="DH42" s="63">
        <f>VLOOKUP(DH23,'Homes - Inputs'!$C$35:$D$39,2,FALSE)*DH31</f>
        <v>0</v>
      </c>
      <c r="DI42" s="63">
        <f>VLOOKUP(DI23,'Homes - Inputs'!$C$35:$D$39,2,FALSE)*DI31</f>
        <v>0</v>
      </c>
      <c r="DJ42" s="72">
        <f t="shared" si="31"/>
        <v>1399.283366568776</v>
      </c>
      <c r="DL42" s="92" t="s">
        <v>120</v>
      </c>
      <c r="DM42" s="63">
        <f>VLOOKUP(DM23,'Homes - Inputs'!$C$35:$D$39,2,FALSE)*DM31</f>
        <v>1134.9493036603219</v>
      </c>
      <c r="DN42" s="63">
        <f>VLOOKUP(DN23,'Homes - Inputs'!$C$35:$D$39,2,FALSE)*DN31</f>
        <v>61.901152215799613</v>
      </c>
      <c r="DO42" s="63">
        <f>VLOOKUP(DO23,'Homes - Inputs'!$C$35:$D$39,2,FALSE)*DO31</f>
        <v>0</v>
      </c>
      <c r="DP42" s="63">
        <f>VLOOKUP(DP23,'Homes - Inputs'!$C$35:$D$39,2,FALSE)*DP31</f>
        <v>0</v>
      </c>
      <c r="DQ42" s="63">
        <f>VLOOKUP(DQ23,'Homes - Inputs'!$C$35:$D$39,2,FALSE)*DQ31</f>
        <v>0</v>
      </c>
      <c r="DR42" s="72">
        <f t="shared" si="32"/>
        <v>1196.8504558761215</v>
      </c>
    </row>
    <row r="43" spans="2:122" x14ac:dyDescent="0.3">
      <c r="C43" s="656" t="s">
        <v>119</v>
      </c>
      <c r="D43" s="107">
        <f ca="1">$C$42-D42</f>
        <v>461.56585427883897</v>
      </c>
      <c r="E43" s="108">
        <f t="shared" ref="E43:O43" ca="1" si="35">$C$42-E42</f>
        <v>791.90557140688952</v>
      </c>
      <c r="F43" s="221">
        <f t="shared" ca="1" si="35"/>
        <v>2113.9398841696357</v>
      </c>
      <c r="G43" s="214">
        <f t="shared" ca="1" si="35"/>
        <v>246.42885744237287</v>
      </c>
      <c r="H43" s="107">
        <f t="shared" ca="1" si="35"/>
        <v>559.68532516919299</v>
      </c>
      <c r="I43" s="108">
        <f t="shared" ca="1" si="35"/>
        <v>791.90557140688952</v>
      </c>
      <c r="J43" s="214">
        <f t="shared" ca="1" si="35"/>
        <v>211.02031884043254</v>
      </c>
      <c r="K43" s="107">
        <f t="shared" ca="1" si="35"/>
        <v>606.03764816955663</v>
      </c>
      <c r="L43" s="108">
        <f t="shared" ca="1" si="35"/>
        <v>917.08942829351417</v>
      </c>
      <c r="M43" s="214">
        <f t="shared" ca="1" si="35"/>
        <v>442.0914555793463</v>
      </c>
      <c r="N43" s="107">
        <f t="shared" ca="1" si="35"/>
        <v>714.65651760085962</v>
      </c>
      <c r="O43" s="108">
        <f t="shared" ca="1" si="35"/>
        <v>917.08942829351417</v>
      </c>
    </row>
    <row r="44" spans="2:122" ht="12.9" thickBot="1" x14ac:dyDescent="0.35">
      <c r="B44" s="20"/>
      <c r="C44" s="657"/>
      <c r="D44" s="126">
        <f t="shared" ref="D44:O44" ca="1" si="36">1-D42/$C$42</f>
        <v>0.21834388845931818</v>
      </c>
      <c r="E44" s="127">
        <f t="shared" ca="1" si="36"/>
        <v>0.3746112069397628</v>
      </c>
      <c r="F44" s="210">
        <f t="shared" ca="1" si="36"/>
        <v>1</v>
      </c>
      <c r="G44" s="212">
        <f t="shared" ca="1" si="36"/>
        <v>0.11657325702011212</v>
      </c>
      <c r="H44" s="126">
        <f ca="1">1-H42/$C$42</f>
        <v>0.26475933840902</v>
      </c>
      <c r="I44" s="127">
        <f t="shared" ca="1" si="36"/>
        <v>0.3746112069397628</v>
      </c>
      <c r="J44" s="212">
        <f t="shared" ca="1" si="36"/>
        <v>9.9823235476406258E-2</v>
      </c>
      <c r="K44" s="126">
        <f t="shared" ca="1" si="36"/>
        <v>0.28668632098192837</v>
      </c>
      <c r="L44" s="127">
        <f t="shared" ca="1" si="36"/>
        <v>0.43382947413083639</v>
      </c>
      <c r="M44" s="212">
        <f t="shared" ca="1" si="36"/>
        <v>0.2091315173576952</v>
      </c>
      <c r="N44" s="126">
        <f t="shared" ca="1" si="36"/>
        <v>0.33806851507585778</v>
      </c>
      <c r="O44" s="127">
        <f t="shared" ca="1" si="36"/>
        <v>0.43382947413083639</v>
      </c>
    </row>
    <row r="45" spans="2:122" ht="12.9" thickBot="1" x14ac:dyDescent="0.35">
      <c r="P45" s="20"/>
    </row>
    <row r="46" spans="2:122" ht="12.9" thickBot="1" x14ac:dyDescent="0.35">
      <c r="B46" s="222" t="s">
        <v>121</v>
      </c>
      <c r="C46" s="223">
        <f ca="1">OFFSET($Q46,0,(6+8*C$22))</f>
        <v>9.2648090019990832</v>
      </c>
      <c r="D46" s="224">
        <f ca="1">OFFSET($Q46,0,(7+8*D$22))</f>
        <v>7.2657360566703426</v>
      </c>
      <c r="E46" s="225">
        <f ca="1">OFFSET($Q46,0,(8+8*E$22))</f>
        <v>5.7886688054046287</v>
      </c>
      <c r="F46" s="208">
        <f ca="1">OFFSET($Q46,0,(6+8*F$22))</f>
        <v>0</v>
      </c>
      <c r="G46" s="223">
        <f ca="1">OFFSET($Q46,0,(9+8*G$22))</f>
        <v>8.0312361979568614</v>
      </c>
      <c r="H46" s="224">
        <f ca="1">OFFSET($Q46,0,(9+8*H$22))</f>
        <v>6.7594995284660655</v>
      </c>
      <c r="I46" s="225">
        <f ca="1">OFFSET($Q46,0,(9+8*I$22))</f>
        <v>5.7886688054046287</v>
      </c>
      <c r="J46" s="223">
        <f ca="1">OFFSET($Q46,0,(9+8*J$22))</f>
        <v>6.5894610375767222</v>
      </c>
      <c r="K46" s="224">
        <f ca="1">OFFSET($Q46,0,(9+8*K$22))</f>
        <v>5.2414495517087003</v>
      </c>
      <c r="L46" s="224">
        <f t="shared" ref="L46:O46" ca="1" si="37">OFFSET($Q46,0,(9+8*L$22))</f>
        <v>4.1866479544478432</v>
      </c>
      <c r="M46" s="224">
        <f t="shared" ca="1" si="37"/>
        <v>5.8218292938843268</v>
      </c>
      <c r="N46" s="224">
        <f t="shared" ca="1" si="37"/>
        <v>4.8805185133794815</v>
      </c>
      <c r="O46" s="224">
        <f t="shared" ca="1" si="37"/>
        <v>4.1866479544478432</v>
      </c>
      <c r="P46" s="20"/>
      <c r="Q46" s="94" t="s">
        <v>121</v>
      </c>
      <c r="R46" s="16">
        <f>VLOOKUP(R$23,'Homes - Inputs'!$C$42:$E$46,3,FALSE)*R31</f>
        <v>4.8259169619990816</v>
      </c>
      <c r="S46" s="16">
        <f>VLOOKUP(S$23,'Homes - Inputs'!$C$42:$E$46,3,FALSE)*S31</f>
        <v>4.4388920400000007</v>
      </c>
      <c r="T46" s="16">
        <f>VLOOKUP(T$23,'Homes - Inputs'!$C$42:$E$46,3,FALSE)*T31</f>
        <v>0</v>
      </c>
      <c r="U46" s="16">
        <f>VLOOKUP(U$23,'Homes - Inputs'!$C$42:$E$46,3,FALSE)*U31</f>
        <v>0</v>
      </c>
      <c r="V46" s="16">
        <f>VLOOKUP(V$23,'Homes - Inputs'!$C$42:$E$46,3,FALSE)*V31</f>
        <v>0</v>
      </c>
      <c r="W46" s="71">
        <f t="shared" ref="W46" si="38">SUMIF(R46:V46,"&lt;&gt;#N/A")</f>
        <v>9.2648090019990832</v>
      </c>
      <c r="Z46" s="94" t="s">
        <v>121</v>
      </c>
      <c r="AA46" s="16">
        <f>VLOOKUP(AA$23,'Homes - Inputs'!$C$42:$E$46,3,FALSE)*AA31</f>
        <v>3.7488108166703427</v>
      </c>
      <c r="AB46" s="16">
        <f>VLOOKUP(AB$23,'Homes - Inputs'!$C$42:$E$46,3,FALSE)*AB31</f>
        <v>3.51692524</v>
      </c>
      <c r="AC46" s="16">
        <f>VLOOKUP(AC$23,'Homes - Inputs'!$C$42:$E$46,3,FALSE)*AC31</f>
        <v>0</v>
      </c>
      <c r="AD46" s="16">
        <f>VLOOKUP(AD$23,'Homes - Inputs'!$C$42:$E$46,3,FALSE)*AD31</f>
        <v>0</v>
      </c>
      <c r="AE46" s="16">
        <f>VLOOKUP(AE$23,'Homes - Inputs'!$C$42:$E$46,3,FALSE)*AE31</f>
        <v>0</v>
      </c>
      <c r="AF46" s="71">
        <f t="shared" ref="AF46" si="39">SUMIF(AA46:AE46,"&lt;&gt;#N/A")</f>
        <v>7.2657360566703426</v>
      </c>
      <c r="AI46" s="94" t="s">
        <v>121</v>
      </c>
      <c r="AJ46" s="16">
        <f>VLOOKUP(AJ$23,'Homes - Inputs'!$C$42:$E$46,3,FALSE)*AJ31</f>
        <v>3.0234118254046285</v>
      </c>
      <c r="AK46" s="16">
        <f>VLOOKUP(AK$23,'Homes - Inputs'!$C$42:$E$46,3,FALSE)*AK31</f>
        <v>2.7652569800000002</v>
      </c>
      <c r="AL46" s="16">
        <f>VLOOKUP(AL$23,'Homes - Inputs'!$C$42:$E$46,3,FALSE)*AL31</f>
        <v>0</v>
      </c>
      <c r="AM46" s="16">
        <f>VLOOKUP(AM$23,'Homes - Inputs'!$C$42:$E$46,3,FALSE)*AM31</f>
        <v>0</v>
      </c>
      <c r="AN46" s="16">
        <f>VLOOKUP(AN$23,'Homes - Inputs'!$C$42:$E$46,3,FALSE)*AN31</f>
        <v>0</v>
      </c>
      <c r="AO46" s="71">
        <f t="shared" ref="AO46" si="40">SUMIF(AJ46:AN46,"&lt;&gt;#N/A")</f>
        <v>5.7886688054046287</v>
      </c>
      <c r="AR46" s="94" t="s">
        <v>121</v>
      </c>
      <c r="AS46" s="16">
        <f>VLOOKUP(AS$23,'Homes - Inputs'!$C$42:$E$46,3,FALSE)*AS31</f>
        <v>7.9473826910209837</v>
      </c>
      <c r="AT46" s="16">
        <f>VLOOKUP(AT$23,'Homes - Inputs'!$C$42:$E$46,3,FALSE)*AT31</f>
        <v>9.174207250000002</v>
      </c>
      <c r="AU46" s="16">
        <f>VLOOKUP(AU$23,'Homes - Inputs'!$C$42:$E$46,3,FALSE)*AU31</f>
        <v>0</v>
      </c>
      <c r="AV46" s="16">
        <f>VLOOKUP(AV$23,'Homes - Inputs'!$C$42:$E$46,3,FALSE)*AV31</f>
        <v>0</v>
      </c>
      <c r="AW46" s="16">
        <f>VLOOKUP(AW$23,'Homes - Inputs'!$C$42:$E$46,3,FALSE)*AW31</f>
        <v>0</v>
      </c>
      <c r="AX46" s="71">
        <f t="shared" ref="AX46" si="41">SUMIF(AS46:AW46,"&lt;&gt;#N/A")</f>
        <v>17.121589941020986</v>
      </c>
      <c r="AZ46" s="94" t="s">
        <v>121</v>
      </c>
      <c r="BA46" s="16">
        <f>VLOOKUP(BA$23,'Homes - Inputs'!$C$42:$E$46,3,FALSE)*BA31</f>
        <v>4.414023297956863</v>
      </c>
      <c r="BB46" s="16">
        <f>VLOOKUP(BB$23,'Homes - Inputs'!$C$42:$E$46,3,FALSE)*BB31</f>
        <v>3.6172128999999993</v>
      </c>
      <c r="BC46" s="16">
        <f>VLOOKUP(BC$23,'Homes - Inputs'!$C$42:$E$46,3,FALSE)*BC31</f>
        <v>0</v>
      </c>
      <c r="BD46" s="16">
        <f>VLOOKUP(BD$23,'Homes - Inputs'!$C$42:$E$46,3,FALSE)*BD31</f>
        <v>0</v>
      </c>
      <c r="BE46" s="16">
        <f>VLOOKUP(BE$23,'Homes - Inputs'!$C$42:$E$46,3,FALSE)*BE31</f>
        <v>0</v>
      </c>
      <c r="BF46" s="71">
        <f t="shared" ref="BF46" si="42">SUMIF(BA46:BE46,"&lt;&gt;#N/A")</f>
        <v>8.0312361979568614</v>
      </c>
      <c r="BH46" s="94" t="s">
        <v>121</v>
      </c>
      <c r="BI46" s="16">
        <f>VLOOKUP(BI$23,'Homes - Inputs'!$C$42:$E$46,3,FALSE)*BI31</f>
        <v>3.5995981884660657</v>
      </c>
      <c r="BJ46" s="16">
        <f>VLOOKUP(BJ$23,'Homes - Inputs'!$C$42:$E$46,3,FALSE)*BJ31</f>
        <v>3.1599013399999998</v>
      </c>
      <c r="BK46" s="16">
        <f>VLOOKUP(BK$23,'Homes - Inputs'!$C$42:$E$46,3,FALSE)*BK31</f>
        <v>0</v>
      </c>
      <c r="BL46" s="16">
        <f>VLOOKUP(BL$23,'Homes - Inputs'!$C$42:$E$46,3,FALSE)*BL31</f>
        <v>0</v>
      </c>
      <c r="BM46" s="16">
        <f>VLOOKUP(BM$23,'Homes - Inputs'!$C$42:$E$46,3,FALSE)*BM31</f>
        <v>0</v>
      </c>
      <c r="BN46" s="71">
        <f t="shared" ref="BN46" si="43">SUMIF(BI46:BM46,"&lt;&gt;#N/A")</f>
        <v>6.7594995284660655</v>
      </c>
      <c r="BP46" s="94" t="s">
        <v>121</v>
      </c>
      <c r="BQ46" s="16">
        <f>VLOOKUP(BQ$23,'Homes - Inputs'!$C$42:$E$46,3,FALSE)*BQ31</f>
        <v>3.0234118254046285</v>
      </c>
      <c r="BR46" s="16">
        <f>VLOOKUP(BR$23,'Homes - Inputs'!$C$42:$E$46,3,FALSE)*BR31</f>
        <v>2.7652569800000002</v>
      </c>
      <c r="BS46" s="16">
        <f>VLOOKUP(BS$23,'Homes - Inputs'!$C$42:$E$46,3,FALSE)*BS31</f>
        <v>0</v>
      </c>
      <c r="BT46" s="16">
        <f>VLOOKUP(BT$23,'Homes - Inputs'!$C$42:$E$46,3,FALSE)*BT31</f>
        <v>0</v>
      </c>
      <c r="BU46" s="16">
        <f>VLOOKUP(BU$23,'Homes - Inputs'!$C$42:$E$46,3,FALSE)*BU31</f>
        <v>0</v>
      </c>
      <c r="BV46" s="71">
        <f t="shared" ref="BV46" si="44">SUMIF(BQ46:BU46,"&lt;&gt;#N/A")</f>
        <v>5.7886688054046287</v>
      </c>
      <c r="BX46" s="94" t="s">
        <v>121</v>
      </c>
      <c r="BY46" s="16">
        <f>VLOOKUP(BY$23,'Homes - Inputs'!$C$42:$E$46,3,FALSE)*BY31</f>
        <v>6.0620241175767218</v>
      </c>
      <c r="BZ46" s="16">
        <f>VLOOKUP(BZ$23,'Homes - Inputs'!$C$42:$E$46,3,FALSE)*BZ31</f>
        <v>0.52743691999999998</v>
      </c>
      <c r="CA46" s="16">
        <f>VLOOKUP(CA$23,'Homes - Inputs'!$C$42:$E$46,3,FALSE)*CA31</f>
        <v>0</v>
      </c>
      <c r="CB46" s="16">
        <f>VLOOKUP(CB$23,'Homes - Inputs'!$C$42:$E$46,3,FALSE)*CB31</f>
        <v>0</v>
      </c>
      <c r="CC46" s="16">
        <f>VLOOKUP(CC$23,'Homes - Inputs'!$C$42:$E$46,3,FALSE)*CC31</f>
        <v>0</v>
      </c>
      <c r="CD46" s="71">
        <f t="shared" ref="CD46" si="45">SUMIF(BY46:CC46,"&lt;&gt;#N/A")</f>
        <v>6.5894610375767222</v>
      </c>
      <c r="CF46" s="94" t="s">
        <v>121</v>
      </c>
      <c r="CG46" s="16">
        <f>VLOOKUP(CG$23,'Homes - Inputs'!$C$42:$E$46,3,FALSE)*CG31</f>
        <v>4.7841491217087002</v>
      </c>
      <c r="CH46" s="16">
        <f>VLOOKUP(CH$23,'Homes - Inputs'!$C$42:$E$46,3,FALSE)*CH31</f>
        <v>0.45730043000000009</v>
      </c>
      <c r="CI46" s="16">
        <f>VLOOKUP(CI$23,'Homes - Inputs'!$C$42:$E$46,3,FALSE)*CI31</f>
        <v>0</v>
      </c>
      <c r="CJ46" s="16">
        <f>VLOOKUP(CJ$23,'Homes - Inputs'!$C$42:$E$46,3,FALSE)*CJ31</f>
        <v>0</v>
      </c>
      <c r="CK46" s="16">
        <f>VLOOKUP(CK$23,'Homes - Inputs'!$C$42:$E$46,3,FALSE)*CK31</f>
        <v>0</v>
      </c>
      <c r="CL46" s="71">
        <f t="shared" ref="CL46" si="46">SUMIF(CG46:CK46,"&lt;&gt;#N/A")</f>
        <v>5.2414495517087003</v>
      </c>
      <c r="CN46" s="94" t="s">
        <v>121</v>
      </c>
      <c r="CO46" s="16">
        <f>VLOOKUP(CO$23,'Homes - Inputs'!$C$42:$E$46,3,FALSE)*CO31</f>
        <v>3.7713516144478429</v>
      </c>
      <c r="CP46" s="16">
        <f>VLOOKUP(CP$23,'Homes - Inputs'!$C$42:$E$46,3,FALSE)*CP31</f>
        <v>0.41529633999999999</v>
      </c>
      <c r="CQ46" s="16">
        <f>VLOOKUP(CQ$23,'Homes - Inputs'!$C$42:$E$46,3,FALSE)*CQ31</f>
        <v>0</v>
      </c>
      <c r="CR46" s="16">
        <f>VLOOKUP(CR$23,'Homes - Inputs'!$C$42:$E$46,3,FALSE)*CR31</f>
        <v>0</v>
      </c>
      <c r="CS46" s="16">
        <f>VLOOKUP(CS$23,'Homes - Inputs'!$C$42:$E$46,3,FALSE)*CS31</f>
        <v>0</v>
      </c>
      <c r="CT46" s="71">
        <f t="shared" ref="CT46" si="47">SUMIF(CO46:CS46,"&lt;&gt;#N/A")</f>
        <v>4.1866479544478432</v>
      </c>
      <c r="CV46" s="94" t="s">
        <v>121</v>
      </c>
      <c r="CW46" s="16">
        <f>VLOOKUP(CW$23,'Homes - Inputs'!$C$42:$E$46,3,FALSE)*CW31</f>
        <v>5.2939954038843267</v>
      </c>
      <c r="CX46" s="16">
        <f>VLOOKUP(CX$23,'Homes - Inputs'!$C$42:$E$46,3,FALSE)*CX31</f>
        <v>0.52783389000000003</v>
      </c>
      <c r="CY46" s="16">
        <f>VLOOKUP(CY$23,'Homes - Inputs'!$C$42:$E$46,3,FALSE)*CY31</f>
        <v>0</v>
      </c>
      <c r="CZ46" s="16">
        <f>VLOOKUP(CZ$23,'Homes - Inputs'!$C$42:$E$46,3,FALSE)*CZ31</f>
        <v>0</v>
      </c>
      <c r="DA46" s="16">
        <f>VLOOKUP(DA$23,'Homes - Inputs'!$C$42:$E$46,3,FALSE)*DA31</f>
        <v>0</v>
      </c>
      <c r="DB46" s="71">
        <f t="shared" ref="DB46" si="48">SUMIF(CW46:DA46,"&lt;&gt;#N/A")</f>
        <v>5.8218292938843268</v>
      </c>
      <c r="DD46" s="94" t="s">
        <v>121</v>
      </c>
      <c r="DE46" s="16">
        <f>VLOOKUP(DE$23,'Homes - Inputs'!$C$42:$E$46,3,FALSE)*DE31</f>
        <v>4.4232154333794815</v>
      </c>
      <c r="DF46" s="16">
        <f>VLOOKUP(DF$23,'Homes - Inputs'!$C$42:$E$46,3,FALSE)*DF31</f>
        <v>0.45730308000000003</v>
      </c>
      <c r="DG46" s="16">
        <f>VLOOKUP(DG$23,'Homes - Inputs'!$C$42:$E$46,3,FALSE)*DG31</f>
        <v>0</v>
      </c>
      <c r="DH46" s="16">
        <f>VLOOKUP(DH$23,'Homes - Inputs'!$C$42:$E$46,3,FALSE)*DH31</f>
        <v>0</v>
      </c>
      <c r="DI46" s="16">
        <f>VLOOKUP(DI$23,'Homes - Inputs'!$C$42:$E$46,3,FALSE)*DI31</f>
        <v>0</v>
      </c>
      <c r="DJ46" s="71">
        <f t="shared" ref="DJ46" si="49">SUMIF(DE46:DI46,"&lt;&gt;#N/A")</f>
        <v>4.8805185133794815</v>
      </c>
      <c r="DL46" s="94" t="s">
        <v>121</v>
      </c>
      <c r="DM46" s="16">
        <f>VLOOKUP(DM$23,'Homes - Inputs'!$C$42:$E$46,3,FALSE)*DM31</f>
        <v>3.7713516144478429</v>
      </c>
      <c r="DN46" s="16">
        <f>VLOOKUP(DN$23,'Homes - Inputs'!$C$42:$E$46,3,FALSE)*DN31</f>
        <v>0.41529633999999999</v>
      </c>
      <c r="DO46" s="16">
        <f>VLOOKUP(DO$23,'Homes - Inputs'!$C$42:$E$46,3,FALSE)*DO31</f>
        <v>0</v>
      </c>
      <c r="DP46" s="16">
        <f>VLOOKUP(DP$23,'Homes - Inputs'!$C$42:$E$46,3,FALSE)*DP31</f>
        <v>0</v>
      </c>
      <c r="DQ46" s="16">
        <f>VLOOKUP(DQ$23,'Homes - Inputs'!$C$42:$E$46,3,FALSE)*DQ31</f>
        <v>0</v>
      </c>
      <c r="DR46" s="71">
        <f t="shared" ref="DR46" si="50">SUMIF(DM46:DQ46,"&lt;&gt;#N/A")</f>
        <v>4.1866479544478432</v>
      </c>
    </row>
    <row r="47" spans="2:122" x14ac:dyDescent="0.3">
      <c r="B47" s="20"/>
      <c r="C47" s="656" t="s">
        <v>119</v>
      </c>
      <c r="D47" s="103">
        <f ca="1">$C$46-D46</f>
        <v>1.9990729453287406</v>
      </c>
      <c r="E47" s="104">
        <f t="shared" ref="E47:O47" ca="1" si="51">$C$46-E46</f>
        <v>3.4761401965944545</v>
      </c>
      <c r="F47" s="209">
        <f t="shared" ca="1" si="51"/>
        <v>9.2648090019990832</v>
      </c>
      <c r="G47" s="211">
        <f t="shared" ca="1" si="51"/>
        <v>1.2335728040422218</v>
      </c>
      <c r="H47" s="103">
        <f t="shared" ca="1" si="51"/>
        <v>2.5053094735330177</v>
      </c>
      <c r="I47" s="104">
        <f t="shared" ca="1" si="51"/>
        <v>3.4761401965944545</v>
      </c>
      <c r="J47" s="211">
        <f t="shared" ca="1" si="51"/>
        <v>2.675347964422361</v>
      </c>
      <c r="K47" s="103">
        <f t="shared" ca="1" si="51"/>
        <v>4.0233594502903829</v>
      </c>
      <c r="L47" s="104">
        <f t="shared" ca="1" si="51"/>
        <v>5.07816104755124</v>
      </c>
      <c r="M47" s="211">
        <f t="shared" ca="1" si="51"/>
        <v>3.4429797081147564</v>
      </c>
      <c r="N47" s="103">
        <f t="shared" ca="1" si="51"/>
        <v>4.3842904886196017</v>
      </c>
      <c r="O47" s="104">
        <f t="shared" ca="1" si="51"/>
        <v>5.07816104755124</v>
      </c>
      <c r="P47" s="20"/>
    </row>
    <row r="48" spans="2:122" ht="12.9" thickBot="1" x14ac:dyDescent="0.35">
      <c r="C48" s="657"/>
      <c r="D48" s="126">
        <f t="shared" ref="D48:O48" ca="1" si="52">1-D46/$C$46</f>
        <v>0.21577055122209177</v>
      </c>
      <c r="E48" s="127">
        <f t="shared" ca="1" si="52"/>
        <v>0.37519825782100868</v>
      </c>
      <c r="F48" s="210">
        <f t="shared" ca="1" si="52"/>
        <v>1</v>
      </c>
      <c r="G48" s="212">
        <f t="shared" ca="1" si="52"/>
        <v>0.13314605878826558</v>
      </c>
      <c r="H48" s="126">
        <f t="shared" ca="1" si="52"/>
        <v>0.27041134609385287</v>
      </c>
      <c r="I48" s="127">
        <f t="shared" ca="1" si="52"/>
        <v>0.37519825782100868</v>
      </c>
      <c r="J48" s="212">
        <f t="shared" ca="1" si="52"/>
        <v>0.28876450273773557</v>
      </c>
      <c r="K48" s="126">
        <f t="shared" ca="1" si="52"/>
        <v>0.4342625357330363</v>
      </c>
      <c r="L48" s="127">
        <f t="shared" ca="1" si="52"/>
        <v>0.54811286951037164</v>
      </c>
      <c r="M48" s="212">
        <f t="shared" ca="1" si="52"/>
        <v>0.37161907033073849</v>
      </c>
      <c r="N48" s="126">
        <f t="shared" ca="1" si="52"/>
        <v>0.47321973800793904</v>
      </c>
      <c r="O48" s="127">
        <f t="shared" ca="1" si="52"/>
        <v>0.54811286951037164</v>
      </c>
      <c r="P48" s="20"/>
    </row>
    <row r="49" spans="2:122" ht="12.9" thickBot="1" x14ac:dyDescent="0.35">
      <c r="P49" s="1"/>
    </row>
    <row r="50" spans="2:122" ht="12.9" thickBot="1" x14ac:dyDescent="0.35">
      <c r="B50" s="172" t="s">
        <v>296</v>
      </c>
      <c r="C50" s="223">
        <f ca="1">OFFSET($Q50,0,(6+8*C$22))/12000</f>
        <v>2.8799166666666665</v>
      </c>
      <c r="D50" s="224">
        <f ca="1">OFFSET($Q50,0,(7+8*D$22))/12000</f>
        <v>2.6130833333333334</v>
      </c>
      <c r="E50" s="225">
        <f ca="1">OFFSET($Q50,0,(8+8*E$22))/12000</f>
        <v>2.2791666666666668</v>
      </c>
      <c r="F50" s="531">
        <f ca="1">OFFSET($Q50,0,(6+8*F$22))</f>
        <v>0</v>
      </c>
      <c r="G50" s="223">
        <f t="shared" ref="G50:O51" ca="1" si="53">OFFSET($Q50,0,(9+8*G$22))/12000</f>
        <v>2.4043333333333332</v>
      </c>
      <c r="H50" s="224">
        <f t="shared" ca="1" si="53"/>
        <v>2.3777499999999998</v>
      </c>
      <c r="I50" s="225">
        <f t="shared" ca="1" si="53"/>
        <v>2.2791666666666668</v>
      </c>
      <c r="J50" s="223">
        <f t="shared" ca="1" si="53"/>
        <v>2.8799166666666665</v>
      </c>
      <c r="K50" s="224">
        <f t="shared" ca="1" si="53"/>
        <v>2.6130833333333334</v>
      </c>
      <c r="L50" s="224">
        <f t="shared" ca="1" si="53"/>
        <v>2.2791666666666668</v>
      </c>
      <c r="M50" s="224">
        <f t="shared" ca="1" si="53"/>
        <v>2.4043333333333332</v>
      </c>
      <c r="N50" s="224">
        <f t="shared" ca="1" si="53"/>
        <v>2.3777499999999998</v>
      </c>
      <c r="O50" s="225">
        <f t="shared" ca="1" si="53"/>
        <v>2.2791666666666668</v>
      </c>
      <c r="P50" s="1"/>
      <c r="Q50" s="229" t="s">
        <v>297</v>
      </c>
      <c r="W50" s="195">
        <v>34559</v>
      </c>
      <c r="Z50" s="229" t="s">
        <v>297</v>
      </c>
      <c r="AF50" s="195">
        <v>31357</v>
      </c>
      <c r="AI50" s="229" t="s">
        <v>297</v>
      </c>
      <c r="AO50" s="195">
        <v>27350</v>
      </c>
      <c r="AZ50" s="229" t="s">
        <v>297</v>
      </c>
      <c r="BF50">
        <v>28852</v>
      </c>
      <c r="BH50" s="229" t="s">
        <v>297</v>
      </c>
      <c r="BN50">
        <v>28533</v>
      </c>
      <c r="BP50" s="229" t="s">
        <v>297</v>
      </c>
      <c r="BV50">
        <v>27350</v>
      </c>
      <c r="BX50" s="229" t="s">
        <v>297</v>
      </c>
      <c r="CD50" s="195">
        <f>W50</f>
        <v>34559</v>
      </c>
      <c r="CF50" s="229" t="s">
        <v>297</v>
      </c>
      <c r="CL50" s="195">
        <f>AF50</f>
        <v>31357</v>
      </c>
      <c r="CN50" s="229" t="s">
        <v>297</v>
      </c>
      <c r="CT50" s="195">
        <f>AO50</f>
        <v>27350</v>
      </c>
      <c r="CV50" s="229" t="s">
        <v>297</v>
      </c>
      <c r="DB50">
        <f>BF50</f>
        <v>28852</v>
      </c>
      <c r="DD50" s="229" t="s">
        <v>297</v>
      </c>
      <c r="DJ50">
        <f>BN50</f>
        <v>28533</v>
      </c>
      <c r="DL50" s="229" t="s">
        <v>297</v>
      </c>
      <c r="DR50">
        <f>BV50</f>
        <v>27350</v>
      </c>
    </row>
    <row r="51" spans="2:122" ht="12.9" thickBot="1" x14ac:dyDescent="0.35">
      <c r="B51" s="172" t="s">
        <v>298</v>
      </c>
      <c r="C51" s="532">
        <f ca="1">OFFSET($Q51,0,(6+8*C$22))/12000</f>
        <v>1.93525753107885</v>
      </c>
      <c r="D51" s="533">
        <f ca="1">OFFSET($Q51,0,(7+8*D$22))/12000</f>
        <v>1.5914437740941252</v>
      </c>
      <c r="E51" s="534">
        <f ca="1">OFFSET($Q51,0,(8+8*E$22))/12000</f>
        <v>1.4059761807102584</v>
      </c>
      <c r="F51" s="535">
        <f ca="1">OFFSET($Q51,0,(6+8*F$22))</f>
        <v>0</v>
      </c>
      <c r="G51" s="532">
        <f t="shared" ca="1" si="53"/>
        <v>1.6979166666666667</v>
      </c>
      <c r="H51" s="533">
        <f t="shared" ca="1" si="53"/>
        <v>1.4913333333333334</v>
      </c>
      <c r="I51" s="534">
        <f t="shared" ca="1" si="53"/>
        <v>1.4059166666666667</v>
      </c>
      <c r="J51" s="532">
        <f t="shared" ca="1" si="53"/>
        <v>1.93525753107885</v>
      </c>
      <c r="K51" s="533">
        <f t="shared" ca="1" si="53"/>
        <v>1.5914437740941252</v>
      </c>
      <c r="L51" s="533">
        <f t="shared" ca="1" si="53"/>
        <v>1.4059761807102584</v>
      </c>
      <c r="M51" s="533">
        <f t="shared" ca="1" si="53"/>
        <v>1.6979166666666667</v>
      </c>
      <c r="N51" s="533">
        <f t="shared" ca="1" si="53"/>
        <v>1.4913333333333334</v>
      </c>
      <c r="O51" s="534">
        <f t="shared" ca="1" si="53"/>
        <v>1.4059166666666667</v>
      </c>
      <c r="P51" s="1"/>
      <c r="Q51" s="229" t="s">
        <v>299</v>
      </c>
      <c r="W51" s="195">
        <v>23223.090372946201</v>
      </c>
      <c r="Z51" s="229" t="s">
        <v>299</v>
      </c>
      <c r="AF51" s="195">
        <v>19097.325289129501</v>
      </c>
      <c r="AI51" s="229" t="s">
        <v>299</v>
      </c>
      <c r="AO51" s="195">
        <v>16871.7141685231</v>
      </c>
      <c r="AZ51" s="229" t="s">
        <v>299</v>
      </c>
      <c r="BF51">
        <v>20375</v>
      </c>
      <c r="BH51" s="229" t="s">
        <v>299</v>
      </c>
      <c r="BN51">
        <v>17896</v>
      </c>
      <c r="BP51" s="229" t="s">
        <v>299</v>
      </c>
      <c r="BV51">
        <v>16871</v>
      </c>
      <c r="BX51" s="229" t="s">
        <v>299</v>
      </c>
      <c r="CD51" s="195">
        <f>W51</f>
        <v>23223.090372946201</v>
      </c>
      <c r="CF51" s="229" t="s">
        <v>299</v>
      </c>
      <c r="CL51" s="195">
        <f>AF51</f>
        <v>19097.325289129501</v>
      </c>
      <c r="CN51" s="229" t="s">
        <v>299</v>
      </c>
      <c r="CT51" s="195">
        <f>AO51</f>
        <v>16871.7141685231</v>
      </c>
      <c r="CV51" s="229" t="s">
        <v>299</v>
      </c>
      <c r="DB51">
        <f>BF51</f>
        <v>20375</v>
      </c>
      <c r="DD51" s="229" t="s">
        <v>299</v>
      </c>
      <c r="DJ51">
        <f>BN51</f>
        <v>17896</v>
      </c>
      <c r="DL51" s="229" t="s">
        <v>299</v>
      </c>
      <c r="DR51">
        <f>BV51</f>
        <v>16871</v>
      </c>
    </row>
    <row r="52" spans="2:122" x14ac:dyDescent="0.3">
      <c r="C52" s="46"/>
      <c r="D52" s="46"/>
      <c r="E52" s="46"/>
      <c r="F52" s="46"/>
      <c r="G52" s="46"/>
      <c r="H52" s="46"/>
      <c r="I52" s="46"/>
      <c r="J52" s="46"/>
      <c r="P52" s="1"/>
      <c r="Z52" s="49"/>
      <c r="AB52" s="49"/>
    </row>
    <row r="53" spans="2:122" ht="12.9" thickBot="1" x14ac:dyDescent="0.35">
      <c r="C53" s="99"/>
      <c r="D53" s="99"/>
      <c r="E53" s="99"/>
      <c r="F53" s="99"/>
      <c r="G53" s="99"/>
      <c r="H53" s="99"/>
      <c r="I53" s="99"/>
      <c r="J53" s="99"/>
      <c r="M53" s="212">
        <f ca="1">1-M31/$J$31</f>
        <v>9.6259892591295082E-2</v>
      </c>
      <c r="N53" s="126">
        <f ca="1">1-N31/$K$31</f>
        <v>5.6104584063745633E-2</v>
      </c>
      <c r="O53" s="127">
        <f ca="1">1-O31/$L$31</f>
        <v>0</v>
      </c>
      <c r="P53" s="553">
        <f ca="1">(M53*158+N53*79+O53*25)/262</f>
        <v>7.49668899635898E-2</v>
      </c>
      <c r="Z53" s="49"/>
      <c r="AB53" s="49"/>
    </row>
    <row r="54" spans="2:122" x14ac:dyDescent="0.3">
      <c r="P54" s="554"/>
    </row>
    <row r="55" spans="2:122" ht="12.9" thickBot="1" x14ac:dyDescent="0.35">
      <c r="M55" s="212">
        <f ca="1">1-M42/$J$42</f>
        <v>0.1214297971122803</v>
      </c>
      <c r="N55" s="126">
        <f ca="1">1-N42/$K$42</f>
        <v>7.2033097927773904E-2</v>
      </c>
      <c r="O55" s="127">
        <f ca="1">1-O42/$L$42</f>
        <v>0</v>
      </c>
      <c r="P55" s="553">
        <f ca="1">(M55*158+N55*79+O55*25)/262</f>
        <v>9.4948559847459646E-2</v>
      </c>
      <c r="Q55" s="48"/>
      <c r="R55" s="1"/>
      <c r="S55" s="9"/>
      <c r="T55" s="9"/>
    </row>
    <row r="56" spans="2:122" x14ac:dyDescent="0.3">
      <c r="P56" s="555"/>
      <c r="W56" s="1"/>
    </row>
    <row r="57" spans="2:122" ht="12.9" thickBot="1" x14ac:dyDescent="0.35">
      <c r="M57" s="212">
        <f ca="1">1-M46/$J$46</f>
        <v>0.11649385880194718</v>
      </c>
      <c r="N57" s="126">
        <f ca="1">1-N46/$K$46</f>
        <v>6.886092001239541E-2</v>
      </c>
      <c r="O57" s="127">
        <f ca="1">1-O46/$L$46</f>
        <v>0</v>
      </c>
      <c r="P57" s="553">
        <f ca="1">(M57*158+N57*79+O57*25)/262</f>
        <v>9.101542889956829E-2</v>
      </c>
      <c r="Q57" s="48"/>
      <c r="W57" s="47"/>
    </row>
    <row r="58" spans="2:122" x14ac:dyDescent="0.3">
      <c r="Q58" s="48"/>
      <c r="W58" s="47"/>
      <c r="X58" s="47"/>
      <c r="Y58" s="47"/>
      <c r="Z58" s="47"/>
    </row>
    <row r="59" spans="2:122" x14ac:dyDescent="0.3">
      <c r="Q59" s="48"/>
    </row>
    <row r="60" spans="2:122" x14ac:dyDescent="0.3">
      <c r="Q60" s="48"/>
    </row>
    <row r="61" spans="2:122" x14ac:dyDescent="0.3">
      <c r="Q61" s="48"/>
    </row>
    <row r="63" spans="2:122" x14ac:dyDescent="0.3">
      <c r="S63" s="9"/>
      <c r="T63" s="9"/>
    </row>
  </sheetData>
  <mergeCells count="3">
    <mergeCell ref="C32:C33"/>
    <mergeCell ref="C43:C44"/>
    <mergeCell ref="C47:C48"/>
  </mergeCells>
  <phoneticPr fontId="22"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0CD904053384040B6E7BE8970EFE59A" ma:contentTypeVersion="13" ma:contentTypeDescription="Create a new document." ma:contentTypeScope="" ma:versionID="811c66920579baa52654218b17f9b818">
  <xsd:schema xmlns:xsd="http://www.w3.org/2001/XMLSchema" xmlns:xs="http://www.w3.org/2001/XMLSchema" xmlns:p="http://schemas.microsoft.com/office/2006/metadata/properties" xmlns:ns2="23e3afca-d941-400c-972c-acffca502969" xmlns:ns3="c2155184-5432-40f3-b1bf-e80939be538f" targetNamespace="http://schemas.microsoft.com/office/2006/metadata/properties" ma:root="true" ma:fieldsID="4e54411989b9c5cc69bb76c894453786" ns2:_="" ns3:_="">
    <xsd:import namespace="23e3afca-d941-400c-972c-acffca502969"/>
    <xsd:import namespace="c2155184-5432-40f3-b1bf-e80939be538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e3afca-d941-400c-972c-acffca5029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1ceebc0-4881-4c25-a184-c216a6cba9c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2155184-5432-40f3-b1bf-e80939be538f"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56ca05fe-5339-4ece-bd39-38272b5dbd25}" ma:internalName="TaxCatchAll" ma:showField="CatchAllData" ma:web="c2155184-5432-40f3-b1bf-e80939be538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3e3afca-d941-400c-972c-acffca502969">
      <Terms xmlns="http://schemas.microsoft.com/office/infopath/2007/PartnerControls"/>
    </lcf76f155ced4ddcb4097134ff3c332f>
    <TaxCatchAll xmlns="c2155184-5432-40f3-b1bf-e80939be538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98B312-0589-4874-8A2E-7D8D5F691A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e3afca-d941-400c-972c-acffca502969"/>
    <ds:schemaRef ds:uri="c2155184-5432-40f3-b1bf-e80939be53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FC3B2A-1164-4E25-BB43-2CB110512BBD}">
  <ds:schemaRefs>
    <ds:schemaRef ds:uri="http://schemas.microsoft.com/office/2006/metadata/properties"/>
    <ds:schemaRef ds:uri="http://schemas.microsoft.com/office/infopath/2007/PartnerControls"/>
    <ds:schemaRef ds:uri="23e3afca-d941-400c-972c-acffca502969"/>
    <ds:schemaRef ds:uri="c2155184-5432-40f3-b1bf-e80939be538f"/>
  </ds:schemaRefs>
</ds:datastoreItem>
</file>

<file path=customXml/itemProps3.xml><?xml version="1.0" encoding="utf-8"?>
<ds:datastoreItem xmlns:ds="http://schemas.openxmlformats.org/officeDocument/2006/customXml" ds:itemID="{E31792BB-951D-42A5-B8B9-9D23A490AEA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T3D-Report Tables</vt:lpstr>
      <vt:lpstr>T3D Data</vt:lpstr>
      <vt:lpstr>T3D-End Use</vt:lpstr>
      <vt:lpstr>T-End Use</vt:lpstr>
      <vt:lpstr>Audit Screenshots</vt:lpstr>
      <vt:lpstr>Modeling Journal</vt:lpstr>
      <vt:lpstr>Garcia PV Study - mid data</vt:lpstr>
      <vt:lpstr>Homes - Inputs</vt:lpstr>
      <vt:lpstr>Homes - 2022</vt:lpstr>
      <vt:lpstr>Homes w PV</vt:lpstr>
      <vt:lpstr>PV Production Ratio</vt:lpstr>
      <vt:lpstr>Neighborhood Inputs</vt:lpstr>
      <vt:lpstr>Neighborhood - TMY3</vt:lpstr>
      <vt:lpstr>Load Summary</vt:lpstr>
      <vt:lpstr>Std Calcs</vt:lpstr>
      <vt:lpstr>Neighborhood - 2022</vt:lpstr>
      <vt:lpstr>DB-End Use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Crystal Decisions</dc:creator>
  <cp:keywords/>
  <dc:description>Powered by Crystal</dc:description>
  <cp:lastModifiedBy>Jessica K. Lee</cp:lastModifiedBy>
  <cp:revision/>
  <dcterms:created xsi:type="dcterms:W3CDTF">2015-03-19T16:25:00Z</dcterms:created>
  <dcterms:modified xsi:type="dcterms:W3CDTF">2024-09-25T17:34:24Z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Objects Context Information">
    <vt:lpwstr>01734361CD07C3C85B968AA4B2781C480C131A4BF1DCCE0484255B1E26629C81B524804482B1890174C5A432F2E45C7F89747CB8D9898B794EB3A723CE67760DAA4DC5C964BF126CC40BEC038ADBAB961EA6062B44298D735C5F86101CF7348508159623AE1A97EA0E84D227135FAE7E965A1E5A8B2415F9ACBB268D0E415AC</vt:lpwstr>
  </property>
  <property fmtid="{D5CDD505-2E9C-101B-9397-08002B2CF9AE}" pid="3" name="Business Objects Context Information1">
    <vt:lpwstr>21F1E97A316969BC98421172D1017E5D288CB0F29C67528689DA0B1B2ADBE6DCB0B17DD60669C21A8A918505702EF72D3D99C56FB147B8F611DBB4DD637AF73874793361D4D3C028B25B47A471FD966BF4A7622AB96D556B86B6EB673ADD38712D996C91B3E338DD2DD93E8610B69B4A2637A7C891483B69A88A3E6598BA771</vt:lpwstr>
  </property>
  <property fmtid="{D5CDD505-2E9C-101B-9397-08002B2CF9AE}" pid="4" name="Business Objects Context Information2">
    <vt:lpwstr>0C74C00C5F26E2E45362BA26213270FBC150C2BA08C51E11B36DA5DC471E7975B5881A90EE958F5F55902328EA783861DC1F6E336CD54BC8A3BA239E12F6934FDEB20D3FF94DA6CE5A4BC82143E97002C4C89B1C8B995FABEE6229E196B92FAF3E0300809B16D5263E54D0636905FE33E66B083C1765BC115C9FEFEA17C2B4C</vt:lpwstr>
  </property>
  <property fmtid="{D5CDD505-2E9C-101B-9397-08002B2CF9AE}" pid="5" name="Business Objects Context Information3">
    <vt:lpwstr>777055C4B9B4C0FD35CD4B9AF39F58F71EDB167F5F970CF29D384FD68FB58D671AEE284464AD11F8455B110CAB82B8D15E1984271A991F7FE19D80AC8C12EF1BCEAE3F9801F6F1AB3E25A8D3117DC8DB065B0CA783B695CD64608602A743E8963F1200EBBF842A8837937F8EB87F8F5D6F55AB93BCC95352AC80FA6923BD728</vt:lpwstr>
  </property>
  <property fmtid="{D5CDD505-2E9C-101B-9397-08002B2CF9AE}" pid="6" name="Business Objects Context Information4">
    <vt:lpwstr>4348A92F2B2E05F8CF6E290474247DD0611FFE1124E5B519DB03C8C0F770FBE85DB6AD8F0858ABD36A130DF95827A0711EE4F7008F316394F827B679FE093D7FABC5B7DD03C5DC13952D68B070FEB53F72DE252238FC731723CDD36C0BAD107AC790A1336176ECDB7FD55A7A4360F8009D7D087F25B48AE7C92E22CDB2C47CE</vt:lpwstr>
  </property>
  <property fmtid="{D5CDD505-2E9C-101B-9397-08002B2CF9AE}" pid="7" name="Business Objects Context Information5">
    <vt:lpwstr>FCE551C1F84CE928CA6CC421050AA3E07CD0374302E3BB678EFD949DA838A2AA154F0C1616584CB987FB017364EC38D8FBE2991DA265425B042E7E03FD3CE384D9A7C8947943237477BDF15A147E0817B4C85D1F610300C3DC329604747DF6DD3ED014F20F149C65E4A0A91ABED50BD80F631FAC80F8823C8BDEA5A1952D245</vt:lpwstr>
  </property>
  <property fmtid="{D5CDD505-2E9C-101B-9397-08002B2CF9AE}" pid="8" name="Business Objects Context Information6">
    <vt:lpwstr>E69F93AD20FDFC89C18E71F0ECF8A9DBB769DD0D</vt:lpwstr>
  </property>
  <property fmtid="{D5CDD505-2E9C-101B-9397-08002B2CF9AE}" pid="9" name="ContentTypeId">
    <vt:lpwstr>0x01010080CD904053384040B6E7BE8970EFE59A</vt:lpwstr>
  </property>
  <property fmtid="{D5CDD505-2E9C-101B-9397-08002B2CF9AE}" pid="10" name="MediaServiceImageTags">
    <vt:lpwstr/>
  </property>
</Properties>
</file>