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2" yWindow="60" windowWidth="21060" windowHeight="9036" activeTab="3"/>
  </bookViews>
  <sheets>
    <sheet name="Summary" sheetId="8" r:id="rId1"/>
    <sheet name="Nomenclature" sheetId="11" r:id="rId2"/>
    <sheet name="Input page" sheetId="1" r:id="rId3"/>
    <sheet name="Results Page" sheetId="2" r:id="rId4"/>
    <sheet name="Matrl Rate Tables" sheetId="4" r:id="rId5"/>
    <sheet name="Matl=f(depth)" sheetId="5" r:id="rId6"/>
    <sheet name="Expltn_calc" sheetId="6" r:id="rId7"/>
    <sheet name="GHG&amp;E ratio calc." sheetId="7" r:id="rId8"/>
    <sheet name="Operational GHG emissions" sheetId="9" r:id="rId9"/>
    <sheet name="Example Results" sheetId="10" r:id="rId10"/>
  </sheets>
  <externalReferences>
    <externalReference r:id="rId11"/>
  </externalReferences>
  <definedNames>
    <definedName name="factor1">'Input page'!$C$10</definedName>
    <definedName name="factor2">'Input page'!$C$11</definedName>
    <definedName name="factor3">'Input page'!$C$12</definedName>
    <definedName name="factor4">'Input page'!$C$13</definedName>
    <definedName name="factor5">'Input page'!$C$15</definedName>
    <definedName name="factor6">'Input page'!$C$16</definedName>
    <definedName name="gal2liter">'[1]Matrl data_coprod'!#REF!</definedName>
    <definedName name="hrs_yr">#REF!</definedName>
    <definedName name="n_sites">Expltn_calc!$B$33</definedName>
    <definedName name="tons2MT">'[1]Matrl data_coprod'!#REF!</definedName>
  </definedNames>
  <calcPr calcId="125725" concurrentCalc="0"/>
</workbook>
</file>

<file path=xl/calcChain.xml><?xml version="1.0" encoding="utf-8"?>
<calcChain xmlns="http://schemas.openxmlformats.org/spreadsheetml/2006/main">
  <c r="C38" i="1"/>
  <c r="C40"/>
  <c r="D37"/>
  <c r="C43"/>
  <c r="D12" i="2"/>
  <c r="C23" i="6"/>
  <c r="T12" i="2"/>
  <c r="H12"/>
  <c r="C44" i="1"/>
  <c r="C20"/>
  <c r="J5" i="5"/>
  <c r="K5"/>
  <c r="C23" i="1"/>
  <c r="J7" i="5"/>
  <c r="K7"/>
  <c r="C30" i="1"/>
  <c r="J12" i="5"/>
  <c r="K12"/>
  <c r="F39"/>
  <c r="C13" i="1"/>
  <c r="C16"/>
  <c r="C10"/>
  <c r="C11"/>
  <c r="D5" i="2"/>
  <c r="D6"/>
  <c r="E39" i="5"/>
  <c r="D7" i="2"/>
  <c r="J13" i="5"/>
  <c r="K13"/>
  <c r="J15"/>
  <c r="K15"/>
  <c r="J20"/>
  <c r="K20"/>
  <c r="F40"/>
  <c r="T5" i="2"/>
  <c r="T6"/>
  <c r="T8"/>
  <c r="E40" i="5"/>
  <c r="T7" i="2"/>
  <c r="J21" i="5"/>
  <c r="K21"/>
  <c r="J23"/>
  <c r="K23"/>
  <c r="J28"/>
  <c r="K28"/>
  <c r="F41"/>
  <c r="H5" i="2"/>
  <c r="H6"/>
  <c r="E41" i="5"/>
  <c r="H7" i="2"/>
  <c r="H9"/>
  <c r="C5"/>
  <c r="C19"/>
  <c r="C20"/>
  <c r="B13" i="7"/>
  <c r="B18"/>
  <c r="E5" i="2"/>
  <c r="E19"/>
  <c r="E20"/>
  <c r="D13" i="7"/>
  <c r="D18"/>
  <c r="F5" i="2"/>
  <c r="F8"/>
  <c r="F19"/>
  <c r="F20"/>
  <c r="E13" i="7"/>
  <c r="E18"/>
  <c r="L5" i="2"/>
  <c r="L6"/>
  <c r="L19"/>
  <c r="L20"/>
  <c r="K13" i="7"/>
  <c r="K18"/>
  <c r="M5" i="2"/>
  <c r="M19"/>
  <c r="M20"/>
  <c r="L13" i="7"/>
  <c r="L18"/>
  <c r="N5" i="2"/>
  <c r="N19"/>
  <c r="N20"/>
  <c r="M13" i="7"/>
  <c r="M18"/>
  <c r="O5" i="2"/>
  <c r="O19"/>
  <c r="O20"/>
  <c r="N13" i="7"/>
  <c r="N18"/>
  <c r="P5" i="2"/>
  <c r="P19"/>
  <c r="P20"/>
  <c r="O13" i="7"/>
  <c r="O18"/>
  <c r="Q5" i="2"/>
  <c r="Q8"/>
  <c r="Q19"/>
  <c r="Q20"/>
  <c r="P13" i="7"/>
  <c r="P18"/>
  <c r="R5" i="2"/>
  <c r="R19"/>
  <c r="R20"/>
  <c r="Q13" i="7"/>
  <c r="Q18"/>
  <c r="S5" i="2"/>
  <c r="S19"/>
  <c r="S20"/>
  <c r="R13" i="7"/>
  <c r="R18"/>
  <c r="G5" i="2"/>
  <c r="G19"/>
  <c r="G20"/>
  <c r="F13" i="7"/>
  <c r="F18"/>
  <c r="C15" i="1"/>
  <c r="C21" i="2"/>
  <c r="B14" i="7"/>
  <c r="B19"/>
  <c r="E21" i="2"/>
  <c r="D14" i="7"/>
  <c r="D19"/>
  <c r="F21" i="2"/>
  <c r="E14" i="7"/>
  <c r="E19"/>
  <c r="L21" i="2"/>
  <c r="K14" i="7"/>
  <c r="K19"/>
  <c r="M21" i="2"/>
  <c r="L14" i="7"/>
  <c r="L19"/>
  <c r="N21" i="2"/>
  <c r="M14" i="7"/>
  <c r="M19"/>
  <c r="O21" i="2"/>
  <c r="N14" i="7"/>
  <c r="N19"/>
  <c r="P21" i="2"/>
  <c r="O14" i="7"/>
  <c r="O19"/>
  <c r="Q21" i="2"/>
  <c r="P14" i="7"/>
  <c r="P19"/>
  <c r="R21" i="2"/>
  <c r="Q14" i="7"/>
  <c r="Q19"/>
  <c r="S21" i="2"/>
  <c r="R14" i="7"/>
  <c r="R19"/>
  <c r="G21" i="2"/>
  <c r="F14" i="7"/>
  <c r="F19"/>
  <c r="C28" i="2"/>
  <c r="J29" i="5"/>
  <c r="K29"/>
  <c r="J31"/>
  <c r="K31"/>
  <c r="J36"/>
  <c r="K36"/>
  <c r="F42"/>
  <c r="Y12" i="2"/>
  <c r="X22"/>
  <c r="W22"/>
  <c r="V22"/>
  <c r="U22"/>
  <c r="S22"/>
  <c r="R22"/>
  <c r="Q22"/>
  <c r="P22"/>
  <c r="O22"/>
  <c r="N22"/>
  <c r="M22"/>
  <c r="L22"/>
  <c r="K22"/>
  <c r="J22"/>
  <c r="I22"/>
  <c r="G22"/>
  <c r="F22"/>
  <c r="E22"/>
  <c r="C22"/>
  <c r="I5"/>
  <c r="I19"/>
  <c r="I21"/>
  <c r="J5"/>
  <c r="J19"/>
  <c r="J21"/>
  <c r="K5"/>
  <c r="K19"/>
  <c r="K21"/>
  <c r="U5"/>
  <c r="U19"/>
  <c r="U21"/>
  <c r="V5"/>
  <c r="V19"/>
  <c r="V21"/>
  <c r="W5"/>
  <c r="W19"/>
  <c r="W21"/>
  <c r="X5"/>
  <c r="X19"/>
  <c r="X21"/>
  <c r="Y5"/>
  <c r="Y6"/>
  <c r="Y9"/>
  <c r="E42" i="5"/>
  <c r="Y7" i="2"/>
  <c r="I20"/>
  <c r="J20"/>
  <c r="K20"/>
  <c r="U20"/>
  <c r="V20"/>
  <c r="W20"/>
  <c r="X20"/>
  <c r="C12" i="1"/>
  <c r="C28"/>
  <c r="C29"/>
  <c r="D17"/>
  <c r="D9"/>
  <c r="C25"/>
  <c r="C21"/>
  <c r="C24"/>
  <c r="C26"/>
  <c r="C27"/>
  <c r="J6" i="5"/>
  <c r="J8"/>
  <c r="J9"/>
  <c r="J10"/>
  <c r="J11"/>
  <c r="B21" i="7"/>
  <c r="I20" i="6"/>
  <c r="I19"/>
  <c r="I18"/>
  <c r="I17"/>
  <c r="I16"/>
  <c r="A39" i="1"/>
  <c r="A41"/>
  <c r="B31" i="6"/>
  <c r="B22"/>
  <c r="B24"/>
  <c r="J14" i="5"/>
  <c r="K14"/>
  <c r="B36" i="6"/>
  <c r="C36"/>
  <c r="D36"/>
  <c r="E36"/>
  <c r="K6" i="5"/>
  <c r="J30"/>
  <c r="K30"/>
  <c r="J22"/>
  <c r="K22"/>
  <c r="J24"/>
  <c r="K24"/>
  <c r="K8"/>
  <c r="J32"/>
  <c r="K32"/>
  <c r="J16"/>
  <c r="K16"/>
  <c r="J17"/>
  <c r="K17"/>
  <c r="J25"/>
  <c r="K25"/>
  <c r="K9"/>
  <c r="J33"/>
  <c r="K33"/>
  <c r="J26"/>
  <c r="J18"/>
  <c r="J34"/>
  <c r="J27"/>
  <c r="K27"/>
  <c r="K11"/>
  <c r="J35"/>
  <c r="K35"/>
  <c r="J19"/>
  <c r="K19"/>
  <c r="K26"/>
  <c r="K34"/>
  <c r="K18"/>
  <c r="K10"/>
  <c r="B28" i="2"/>
  <c r="H12" i="7"/>
  <c r="H17"/>
  <c r="N12"/>
  <c r="N17"/>
  <c r="E12"/>
  <c r="E17"/>
  <c r="Q12"/>
  <c r="Q17"/>
  <c r="D12"/>
  <c r="D17"/>
  <c r="J12"/>
  <c r="J17"/>
  <c r="M12"/>
  <c r="M17"/>
  <c r="P12"/>
  <c r="P17"/>
  <c r="I12"/>
  <c r="I17"/>
  <c r="L12"/>
  <c r="L17"/>
  <c r="O12"/>
  <c r="O17"/>
  <c r="B12"/>
  <c r="B17"/>
  <c r="R12"/>
  <c r="R17"/>
  <c r="K12"/>
  <c r="K17"/>
  <c r="I14"/>
  <c r="I19"/>
  <c r="I13"/>
  <c r="I18"/>
  <c r="J14"/>
  <c r="J19"/>
  <c r="J13"/>
  <c r="J18"/>
  <c r="H14"/>
  <c r="H19"/>
  <c r="H13"/>
  <c r="H18"/>
  <c r="F12"/>
  <c r="F17"/>
  <c r="C22" i="6"/>
  <c r="C24"/>
  <c r="C37"/>
  <c r="D37"/>
  <c r="B37"/>
  <c r="E37"/>
  <c r="D10" i="2"/>
  <c r="D19"/>
  <c r="C12" i="7"/>
  <c r="C17"/>
  <c r="T10" i="2"/>
  <c r="T19"/>
  <c r="S12" i="7"/>
  <c r="S17"/>
  <c r="H10" i="2"/>
  <c r="H19"/>
  <c r="G12" i="7"/>
  <c r="G17"/>
  <c r="D28"/>
  <c r="B27" i="2"/>
  <c r="B29"/>
  <c r="D26" i="7"/>
  <c r="D27"/>
  <c r="B26" i="2"/>
  <c r="D22" i="6"/>
  <c r="D24"/>
  <c r="B38"/>
  <c r="D13" i="2"/>
  <c r="D20"/>
  <c r="C13" i="7"/>
  <c r="C18"/>
  <c r="C38" i="6"/>
  <c r="T13" i="2"/>
  <c r="T20"/>
  <c r="S13" i="7"/>
  <c r="S18"/>
  <c r="D38" i="6"/>
  <c r="H13" i="2"/>
  <c r="H20"/>
  <c r="G13" i="7"/>
  <c r="G18"/>
  <c r="E28"/>
  <c r="C27" i="2"/>
  <c r="C29"/>
  <c r="Y10"/>
  <c r="Y19"/>
  <c r="E38" i="6"/>
  <c r="Y13" i="2"/>
  <c r="Y20"/>
  <c r="Y21"/>
  <c r="D22"/>
  <c r="H22"/>
  <c r="T22"/>
  <c r="Y22"/>
  <c r="D21"/>
  <c r="C14" i="7"/>
  <c r="C19"/>
  <c r="T21" i="2"/>
  <c r="S14" i="7"/>
  <c r="S19"/>
  <c r="H21" i="2"/>
  <c r="G14" i="7"/>
  <c r="G19"/>
  <c r="F28"/>
  <c r="F26"/>
  <c r="F27"/>
  <c r="E26"/>
  <c r="E27"/>
  <c r="C26" i="2"/>
</calcChain>
</file>

<file path=xl/comments1.xml><?xml version="1.0" encoding="utf-8"?>
<comments xmlns="http://schemas.openxmlformats.org/spreadsheetml/2006/main">
  <authors>
    <author>Dr. Sullivan</author>
  </authors>
  <commentList>
    <comment ref="D4" authorId="0">
      <text>
        <r>
          <rPr>
            <b/>
            <sz val="9"/>
            <color indexed="81"/>
            <rFont val="Tahoma"/>
            <family val="2"/>
          </rPr>
          <t>Dr. Sullivan:</t>
        </r>
        <r>
          <rPr>
            <sz val="9"/>
            <color indexed="81"/>
            <rFont val="Tahoma"/>
            <family val="2"/>
          </rPr>
          <t xml:space="preserve">
Confirmation wells are assumed to have the same materials and fuel demand as P_wells</t>
        </r>
      </text>
    </comment>
    <comment ref="D18" authorId="0">
      <text>
        <r>
          <rPr>
            <b/>
            <sz val="9"/>
            <color indexed="81"/>
            <rFont val="Tahoma"/>
            <family val="2"/>
          </rPr>
          <t>Dr. Sullivan:</t>
        </r>
        <r>
          <rPr>
            <sz val="9"/>
            <color indexed="81"/>
            <rFont val="Tahoma"/>
            <family val="2"/>
          </rPr>
          <t xml:space="preserve">
GETEM ( Geothermal Electricity Technology Evaluation Model), 2013, “Geothermal Electricity
Technology Evaluation Model,” http://www1.eere.energy.gov/geothermal/getem.html, last
accessed Sept. 5, 2013.</t>
        </r>
      </text>
    </comment>
  </commentList>
</comments>
</file>

<file path=xl/comments2.xml><?xml version="1.0" encoding="utf-8"?>
<comments xmlns="http://schemas.openxmlformats.org/spreadsheetml/2006/main">
  <authors>
    <author>Dr. Sullivan</author>
  </authors>
  <commentList>
    <comment ref="B8" authorId="0">
      <text>
        <r>
          <rPr>
            <b/>
            <sz val="9"/>
            <color indexed="81"/>
            <rFont val="Tahoma"/>
            <family val="2"/>
          </rPr>
          <t>Dr. Sullivan:</t>
        </r>
        <r>
          <rPr>
            <sz val="9"/>
            <color indexed="81"/>
            <rFont val="Tahoma"/>
            <family val="2"/>
          </rPr>
          <t xml:space="preserve">
typically 30 years
</t>
        </r>
      </text>
    </comment>
    <comment ref="A9" authorId="0">
      <text>
        <r>
          <rPr>
            <b/>
            <sz val="9"/>
            <color indexed="81"/>
            <rFont val="Tahoma"/>
            <family val="2"/>
          </rPr>
          <t>Dr. Sullivan:</t>
        </r>
        <r>
          <rPr>
            <sz val="9"/>
            <color indexed="81"/>
            <rFont val="Tahoma"/>
            <family val="2"/>
          </rPr>
          <t xml:space="preserve">
Enter "x" in one box</t>
        </r>
      </text>
    </comment>
    <comment ref="A10" authorId="0">
      <text>
        <r>
          <rPr>
            <b/>
            <sz val="9"/>
            <color indexed="81"/>
            <rFont val="Tahoma"/>
            <family val="2"/>
          </rPr>
          <t>Dr. Sullivan:</t>
        </r>
        <r>
          <rPr>
            <sz val="9"/>
            <color indexed="81"/>
            <rFont val="Tahoma"/>
            <family val="2"/>
          </rPr>
          <t xml:space="preserve">
EGS-Flash is modeled as a HT-F plant but with stimulation included.</t>
        </r>
      </text>
    </comment>
    <comment ref="A14" authorId="0">
      <text>
        <r>
          <rPr>
            <b/>
            <sz val="9"/>
            <color indexed="81"/>
            <rFont val="Tahoma"/>
            <family val="2"/>
          </rPr>
          <t>Dr. Sullivan:</t>
        </r>
        <r>
          <rPr>
            <sz val="9"/>
            <color indexed="81"/>
            <rFont val="Tahoma"/>
            <family val="2"/>
          </rPr>
          <t xml:space="preserve">
This is where the user inputs on the "Matrl Rate Tables" page his/her MPR data. Plant type is choose here. Regarding well depths, the user should use well depths shown below that are consistent with the technology that they are exploring.
</t>
        </r>
      </text>
    </comment>
    <comment ref="A19" authorId="0">
      <text>
        <r>
          <rPr>
            <b/>
            <sz val="9"/>
            <color indexed="81"/>
            <rFont val="Tahoma"/>
            <family val="2"/>
          </rPr>
          <t>Dr. Sullivan:</t>
        </r>
        <r>
          <rPr>
            <sz val="9"/>
            <color indexed="81"/>
            <rFont val="Tahoma"/>
            <family val="2"/>
          </rPr>
          <t xml:space="preserve">
EGS denotes Enhanced Geothermal Systems</t>
        </r>
      </text>
    </comment>
    <comment ref="A21" authorId="0">
      <text>
        <r>
          <rPr>
            <b/>
            <sz val="9"/>
            <color indexed="81"/>
            <rFont val="Tahoma"/>
            <family val="2"/>
          </rPr>
          <t>Dr. Sullivan:</t>
        </r>
        <r>
          <rPr>
            <sz val="9"/>
            <color indexed="81"/>
            <rFont val="Tahoma"/>
            <family val="2"/>
          </rPr>
          <t xml:space="preserve">
intrmdt denotes an intermediate casing</t>
        </r>
      </text>
    </comment>
    <comment ref="A26" authorId="0">
      <text>
        <r>
          <rPr>
            <b/>
            <sz val="9"/>
            <color indexed="81"/>
            <rFont val="Tahoma"/>
            <family val="2"/>
          </rPr>
          <t>Dr. Sullivan:</t>
        </r>
        <r>
          <rPr>
            <sz val="9"/>
            <color indexed="81"/>
            <rFont val="Tahoma"/>
            <family val="2"/>
          </rPr>
          <t xml:space="preserve">
HT-F denotes hydrothermal flash</t>
        </r>
      </text>
    </comment>
    <comment ref="A29" authorId="0">
      <text>
        <r>
          <rPr>
            <b/>
            <sz val="9"/>
            <color indexed="81"/>
            <rFont val="Tahoma"/>
            <family val="2"/>
          </rPr>
          <t>Dr. Sullivan:</t>
        </r>
        <r>
          <rPr>
            <sz val="9"/>
            <color indexed="81"/>
            <rFont val="Tahoma"/>
            <family val="2"/>
          </rPr>
          <t xml:space="preserve">
HT-B denote hydrothermal binary</t>
        </r>
      </text>
    </comment>
    <comment ref="A31" authorId="0">
      <text>
        <r>
          <rPr>
            <b/>
            <sz val="9"/>
            <color indexed="81"/>
            <rFont val="Tahoma"/>
            <family val="2"/>
          </rPr>
          <t>Dr. Sullivan:</t>
        </r>
        <r>
          <rPr>
            <sz val="9"/>
            <color indexed="81"/>
            <rFont val="Tahoma"/>
            <family val="2"/>
          </rPr>
          <t xml:space="preserve">
P_wells denotes production wells
I_wells dentoes injection wells</t>
        </r>
      </text>
    </comment>
    <comment ref="B31" authorId="0">
      <text>
        <r>
          <rPr>
            <b/>
            <sz val="9"/>
            <color indexed="81"/>
            <rFont val="Tahoma"/>
            <family val="2"/>
          </rPr>
          <t>Dr. Sullivan:</t>
        </r>
        <r>
          <rPr>
            <sz val="9"/>
            <color indexed="81"/>
            <rFont val="Tahoma"/>
            <family val="2"/>
          </rPr>
          <t xml:space="preserve">
based case value is 1 km</t>
        </r>
      </text>
    </comment>
    <comment ref="A33" authorId="0">
      <text>
        <r>
          <rPr>
            <b/>
            <sz val="9"/>
            <color indexed="81"/>
            <rFont val="Tahoma"/>
            <family val="2"/>
          </rPr>
          <t>Dr. Sullivan:</t>
        </r>
        <r>
          <rPr>
            <sz val="9"/>
            <color indexed="81"/>
            <rFont val="Tahoma"/>
            <family val="2"/>
          </rPr>
          <t xml:space="preserve">
An example case for each technologiy is as follows:
Technology       Cap.     Opertnl wells      P_wells       I_wells      I/P         C_wells    Well depth
                     (MW)                                                                                         km
EGS-Binary         20            9.6              6.38         3.19         0.500          0            6
HT-B                 10           4.27             3.02         1.25         0.414          1           1.5
HT-F                 50           20.6             14.6         6.00         0.415          0            2.5</t>
        </r>
      </text>
    </comment>
    <comment ref="A38" authorId="0">
      <text>
        <r>
          <rPr>
            <b/>
            <sz val="9"/>
            <color indexed="81"/>
            <rFont val="Tahoma"/>
            <family val="2"/>
          </rPr>
          <t>Dr. Sullivan:</t>
        </r>
        <r>
          <rPr>
            <sz val="9"/>
            <color indexed="81"/>
            <rFont val="Tahoma"/>
            <family val="2"/>
          </rPr>
          <t xml:space="preserve">
See "Expltn_calc page for description and references</t>
        </r>
      </text>
    </comment>
    <comment ref="A39" authorId="0">
      <text>
        <r>
          <rPr>
            <b/>
            <sz val="9"/>
            <color indexed="81"/>
            <rFont val="Tahoma"/>
            <family val="2"/>
          </rPr>
          <t>Dr. Sullivan:</t>
        </r>
        <r>
          <rPr>
            <sz val="9"/>
            <color indexed="81"/>
            <rFont val="Tahoma"/>
            <family val="2"/>
          </rPr>
          <t xml:space="preserve">
Success rate options are:
0.6, 0.7, 0.8, 0.9, 1.0
Default is 0.6</t>
        </r>
      </text>
    </comment>
    <comment ref="A40" authorId="0">
      <text>
        <r>
          <rPr>
            <b/>
            <sz val="9"/>
            <color indexed="81"/>
            <rFont val="Tahoma"/>
            <family val="2"/>
          </rPr>
          <t>Dr. Sullivan:</t>
        </r>
        <r>
          <rPr>
            <sz val="9"/>
            <color indexed="81"/>
            <rFont val="Tahoma"/>
            <family val="2"/>
          </rPr>
          <t xml:space="preserve">
In this case, exploration is considered simply a number of additional confirmation wells specified by the user asd a surrogate representation of exploration.</t>
        </r>
      </text>
    </comment>
    <comment ref="A43" authorId="0">
      <text>
        <r>
          <rPr>
            <b/>
            <sz val="9"/>
            <color indexed="81"/>
            <rFont val="Tahoma"/>
            <family val="2"/>
          </rPr>
          <t>Dr. Sullivan:</t>
        </r>
        <r>
          <rPr>
            <sz val="9"/>
            <color indexed="81"/>
            <rFont val="Tahoma"/>
            <family val="2"/>
          </rPr>
          <t xml:space="preserve">
These variations are due to variations in facility MPRs which arise from a range of T and FR assumed for a set of multiple GETEM runs for a plant of specified capacity.</t>
        </r>
      </text>
    </comment>
    <comment ref="A44" authorId="0">
      <text>
        <r>
          <rPr>
            <b/>
            <sz val="9"/>
            <color indexed="81"/>
            <rFont val="Tahoma"/>
            <family val="2"/>
          </rPr>
          <t>Dr. Sullivan:</t>
        </r>
        <r>
          <rPr>
            <sz val="9"/>
            <color indexed="81"/>
            <rFont val="Tahoma"/>
            <family val="2"/>
          </rPr>
          <t xml:space="preserve">
An exploration variation is estimated only when the ANL Exploration Model is chosen.</t>
        </r>
      </text>
    </comment>
  </commentList>
</comments>
</file>

<file path=xl/comments3.xml><?xml version="1.0" encoding="utf-8"?>
<comments xmlns="http://schemas.openxmlformats.org/spreadsheetml/2006/main">
  <authors>
    <author>Dr. Sullivan</author>
  </authors>
  <commentList>
    <comment ref="Q2" authorId="0">
      <text>
        <r>
          <rPr>
            <b/>
            <sz val="9"/>
            <color indexed="81"/>
            <rFont val="Tahoma"/>
            <family val="2"/>
          </rPr>
          <t>Dr. Sullivan:</t>
        </r>
        <r>
          <rPr>
            <sz val="9"/>
            <color indexed="81"/>
            <rFont val="Tahoma"/>
            <family val="2"/>
          </rPr>
          <t xml:space="preserve">
plastics and or rubber</t>
        </r>
      </text>
    </comment>
    <comment ref="A6" authorId="0">
      <text>
        <r>
          <rPr>
            <b/>
            <sz val="9"/>
            <color indexed="81"/>
            <rFont val="Tahoma"/>
            <family val="2"/>
          </rPr>
          <t>Dr. Sullivan:</t>
        </r>
        <r>
          <rPr>
            <sz val="9"/>
            <color indexed="81"/>
            <rFont val="Tahoma"/>
            <family val="2"/>
          </rPr>
          <t xml:space="preserve">
These values are all on a per well basis per km in length and assume that half the distance serves production wells to the plant and half serves piping from the plant to injection wells.
In the final tally and before dividing by MW, 
        total materials for piping =  #P_wells*values*distance
Despite there being fewer injections wells vs. P wells, we assume the same amount of piping for injection as for Pwells to plant. Though in general, HT-F plants do not injection most of the geofluid back into the resource, they do inject some of it and therefore we assume the same P wells to plant to I wells structure that the binary plants have.</t>
        </r>
      </text>
    </comment>
    <comment ref="A9" authorId="0">
      <text>
        <r>
          <rPr>
            <b/>
            <sz val="9"/>
            <color indexed="81"/>
            <rFont val="Tahoma"/>
            <family val="2"/>
          </rPr>
          <t>Dr. Sullivan:</t>
        </r>
        <r>
          <rPr>
            <sz val="9"/>
            <color indexed="81"/>
            <rFont val="Tahoma"/>
            <family val="2"/>
          </rPr>
          <t xml:space="preserve">
For EGS only; these values are on a per injection well only</t>
        </r>
      </text>
    </comment>
    <comment ref="Q17" authorId="0">
      <text>
        <r>
          <rPr>
            <b/>
            <sz val="9"/>
            <color indexed="81"/>
            <rFont val="Tahoma"/>
            <family val="2"/>
          </rPr>
          <t>Dr. Sullivan:</t>
        </r>
        <r>
          <rPr>
            <sz val="9"/>
            <color indexed="81"/>
            <rFont val="Tahoma"/>
            <family val="2"/>
          </rPr>
          <t xml:space="preserve">
plastics and or rubber</t>
        </r>
      </text>
    </comment>
    <comment ref="A26" authorId="0">
      <text>
        <r>
          <rPr>
            <b/>
            <sz val="9"/>
            <color indexed="81"/>
            <rFont val="Tahoma"/>
            <family val="2"/>
          </rPr>
          <t>Dr. Sullivan:</t>
        </r>
        <r>
          <rPr>
            <sz val="9"/>
            <color indexed="81"/>
            <rFont val="Tahoma"/>
            <family val="2"/>
          </rPr>
          <t xml:space="preserve">
This is a dimensionless number, i.e. MJ/MJ or Btu/Btu, or kWh/kWh</t>
        </r>
      </text>
    </comment>
    <comment ref="A27" authorId="0">
      <text>
        <r>
          <rPr>
            <b/>
            <sz val="9"/>
            <color indexed="81"/>
            <rFont val="Tahoma"/>
            <family val="2"/>
          </rPr>
          <t>Dr. Sullivan:</t>
        </r>
        <r>
          <rPr>
            <sz val="9"/>
            <color indexed="81"/>
            <rFont val="Tahoma"/>
            <family val="2"/>
          </rPr>
          <t xml:space="preserve">
Units here are g/kWh</t>
        </r>
      </text>
    </comment>
    <comment ref="A28" authorId="0">
      <text>
        <r>
          <rPr>
            <b/>
            <sz val="9"/>
            <color indexed="81"/>
            <rFont val="Tahoma"/>
            <family val="2"/>
          </rPr>
          <t>Dr. Sullivan:</t>
        </r>
        <r>
          <rPr>
            <sz val="9"/>
            <color indexed="81"/>
            <rFont val="Tahoma"/>
            <family val="2"/>
          </rPr>
          <t xml:space="preserve">
The user should note that even though hydrothermal flash and dry steam plants have operational (fuel use) GHG emissions, there is no corresponding fossil energy consumption.</t>
        </r>
      </text>
    </comment>
  </commentList>
</comments>
</file>

<file path=xl/comments4.xml><?xml version="1.0" encoding="utf-8"?>
<comments xmlns="http://schemas.openxmlformats.org/spreadsheetml/2006/main">
  <authors>
    <author>Dr. Sullivan</author>
    <author>John Sullivan</author>
  </authors>
  <commentList>
    <comment ref="R2" authorId="0">
      <text>
        <r>
          <rPr>
            <b/>
            <sz val="9"/>
            <color indexed="81"/>
            <rFont val="Tahoma"/>
            <family val="2"/>
          </rPr>
          <t>Dr. Sullivan:</t>
        </r>
        <r>
          <rPr>
            <sz val="9"/>
            <color indexed="81"/>
            <rFont val="Tahoma"/>
            <family val="2"/>
          </rPr>
          <t xml:space="preserve">
plastics and or rubber</t>
        </r>
      </text>
    </comment>
    <comment ref="H6" authorId="1">
      <text>
        <r>
          <rPr>
            <b/>
            <sz val="9"/>
            <color indexed="81"/>
            <rFont val="Tahoma"/>
            <family val="2"/>
          </rPr>
          <t>John Sullivan:</t>
        </r>
        <r>
          <rPr>
            <sz val="9"/>
            <color indexed="81"/>
            <rFont val="Tahoma"/>
            <family val="2"/>
          </rPr>
          <t xml:space="preserve">
For plant only construction activities, diesel and electricity have been estimated by assuming that Edir is 6.8% of Epc (plant only, not wells or above ground piping for GTP) and of that 25% is electricity and 75% is diesel). See construction data.xlxs or the adjustments page here)</t>
        </r>
      </text>
    </comment>
    <comment ref="I6" authorId="1">
      <text>
        <r>
          <rPr>
            <b/>
            <sz val="9"/>
            <color indexed="81"/>
            <rFont val="Tahoma"/>
            <family val="2"/>
          </rPr>
          <t>John Sullivan:</t>
        </r>
        <r>
          <rPr>
            <sz val="9"/>
            <color indexed="81"/>
            <rFont val="Tahoma"/>
            <family val="2"/>
          </rPr>
          <t xml:space="preserve">
For plant only construction activities, diesel and electricity have been estimated by assuming that Edir is 6.8% of Epc (plant only, not wells or above ground piping for GTP) and of that 25% is electricity and 75% is diesel). See construction data.xlxs or the adjustments page here)</t>
        </r>
      </text>
    </comment>
    <comment ref="Z6" authorId="1">
      <text>
        <r>
          <rPr>
            <b/>
            <sz val="9"/>
            <color indexed="81"/>
            <rFont val="Tahoma"/>
            <family val="2"/>
          </rPr>
          <t>John Sullivan:</t>
        </r>
        <r>
          <rPr>
            <sz val="9"/>
            <color indexed="81"/>
            <rFont val="Tahoma"/>
            <family val="2"/>
          </rPr>
          <t xml:space="preserve">
As per Kendell, we assumed that 8.8% by wt of concrete is water:
10,694 = 460,000 *.088/3.785</t>
        </r>
      </text>
    </comment>
    <comment ref="B7" authorId="0">
      <text>
        <r>
          <rPr>
            <b/>
            <sz val="9"/>
            <color indexed="81"/>
            <rFont val="Tahoma"/>
            <family val="2"/>
          </rPr>
          <t>Dr. Sullivan:</t>
        </r>
        <r>
          <rPr>
            <sz val="9"/>
            <color indexed="81"/>
            <rFont val="Tahoma"/>
            <family val="2"/>
          </rPr>
          <t xml:space="preserve">
This represents inline and submersible pumps</t>
        </r>
      </text>
    </comment>
    <comment ref="G7" authorId="0">
      <text>
        <r>
          <rPr>
            <b/>
            <sz val="9"/>
            <color indexed="81"/>
            <rFont val="Tahoma"/>
            <family val="2"/>
          </rPr>
          <t>Dr. Sullivan:</t>
        </r>
        <r>
          <rPr>
            <sz val="9"/>
            <color indexed="81"/>
            <rFont val="Tahoma"/>
            <family val="2"/>
          </rPr>
          <t xml:space="preserve">
Cu and brass</t>
        </r>
      </text>
    </comment>
    <comment ref="C8" authorId="1">
      <text>
        <r>
          <rPr>
            <b/>
            <sz val="9"/>
            <color indexed="81"/>
            <rFont val="Tahoma"/>
            <family val="2"/>
          </rPr>
          <t>John Sullivan:</t>
        </r>
        <r>
          <rPr>
            <sz val="9"/>
            <color indexed="81"/>
            <rFont val="Tahoma"/>
            <family val="2"/>
          </rPr>
          <t xml:space="preserve">
These values are all on a per P_well to plant to I_well basis, henceforth denoted as per well</t>
        </r>
      </text>
    </comment>
    <comment ref="I9" authorId="1">
      <text>
        <r>
          <rPr>
            <b/>
            <sz val="9"/>
            <color indexed="81"/>
            <rFont val="Tahoma"/>
            <family val="2"/>
          </rPr>
          <t>John Sullivan:</t>
        </r>
        <r>
          <rPr>
            <sz val="9"/>
            <color indexed="81"/>
            <rFont val="Tahoma"/>
            <family val="2"/>
          </rPr>
          <t xml:space="preserve">
amount per injection well</t>
        </r>
      </text>
    </comment>
    <comment ref="Z9" authorId="1">
      <text>
        <r>
          <rPr>
            <b/>
            <sz val="9"/>
            <color indexed="81"/>
            <rFont val="Tahoma"/>
            <family val="2"/>
          </rPr>
          <t>John Sullivan:</t>
        </r>
        <r>
          <rPr>
            <sz val="9"/>
            <color indexed="81"/>
            <rFont val="Tahoma"/>
            <family val="2"/>
          </rPr>
          <t xml:space="preserve">
Based on Corrie's recent analysis, she sites 19,400 m</t>
        </r>
        <r>
          <rPr>
            <vertAlign val="superscript"/>
            <sz val="9"/>
            <color indexed="81"/>
            <rFont val="Tahoma"/>
            <family val="2"/>
          </rPr>
          <t>3</t>
        </r>
        <r>
          <rPr>
            <sz val="9"/>
            <color indexed="81"/>
            <rFont val="Tahoma"/>
            <family val="2"/>
          </rPr>
          <t xml:space="preserve">/injection well
19,400*1000/3.785 = 5.13E6 gallons per injection well.
</t>
        </r>
      </text>
    </comment>
    <comment ref="H13" authorId="1">
      <text>
        <r>
          <rPr>
            <b/>
            <sz val="9"/>
            <color indexed="81"/>
            <rFont val="Tahoma"/>
            <family val="2"/>
          </rPr>
          <t>John Sullivan:</t>
        </r>
        <r>
          <rPr>
            <sz val="9"/>
            <color indexed="81"/>
            <rFont val="Tahoma"/>
            <family val="2"/>
          </rPr>
          <t xml:space="preserve">
For plant only construction activities, diesel and electricity have been estimated by assuming that Edir is 6.8% of Epc (plant only, not wells or above ground piping for GTP) and of that 25% is electricity and 75% is diesel). See construction data.xlxs or the adjustments page here)</t>
        </r>
      </text>
    </comment>
    <comment ref="I13" authorId="1">
      <text>
        <r>
          <rPr>
            <b/>
            <sz val="9"/>
            <color indexed="81"/>
            <rFont val="Tahoma"/>
            <family val="2"/>
          </rPr>
          <t>John Sullivan:</t>
        </r>
        <r>
          <rPr>
            <sz val="9"/>
            <color indexed="81"/>
            <rFont val="Tahoma"/>
            <family val="2"/>
          </rPr>
          <t xml:space="preserve">
For plant only construction activities, diesel and electricity have been estimated by assuming that Edir is 6.8% of Epc (plant only, not wells or above ground piping for GTP) and of that 25% is electricity and 75% is diesel). See construction data.xlxs or the adjustments page here)</t>
        </r>
      </text>
    </comment>
    <comment ref="Z13" authorId="1">
      <text>
        <r>
          <rPr>
            <b/>
            <sz val="9"/>
            <color indexed="81"/>
            <rFont val="Tahoma"/>
            <family val="2"/>
          </rPr>
          <t>John Sullivan:</t>
        </r>
        <r>
          <rPr>
            <sz val="9"/>
            <color indexed="81"/>
            <rFont val="Tahoma"/>
            <family val="2"/>
          </rPr>
          <t xml:space="preserve">
As per Kendell, we assumed that 8.8% by wt of concrete is water</t>
        </r>
      </text>
    </comment>
    <comment ref="C15" authorId="1">
      <text>
        <r>
          <rPr>
            <b/>
            <sz val="9"/>
            <color indexed="81"/>
            <rFont val="Tahoma"/>
            <family val="2"/>
          </rPr>
          <t>John Sullivan:</t>
        </r>
        <r>
          <rPr>
            <sz val="9"/>
            <color indexed="81"/>
            <rFont val="Tahoma"/>
            <family val="2"/>
          </rPr>
          <t xml:space="preserve">
These values are all on a per P_well to plant to I_well basis, henceforth denoted as per well</t>
        </r>
      </text>
    </comment>
    <comment ref="H18" authorId="1">
      <text>
        <r>
          <rPr>
            <b/>
            <sz val="9"/>
            <color indexed="81"/>
            <rFont val="Tahoma"/>
            <family val="2"/>
          </rPr>
          <t>John Sullivan:</t>
        </r>
        <r>
          <rPr>
            <sz val="9"/>
            <color indexed="81"/>
            <rFont val="Tahoma"/>
            <family val="2"/>
          </rPr>
          <t xml:space="preserve">
For plant only construction activities, diesel and electricity have been estimated by assuming that Edir is 6.8% of Epc (plant only, not wells or above ground piping for GTP) and of that 25% is electricity and 75% is diesel). See construction data.xlxs or the adjustments page here)</t>
        </r>
      </text>
    </comment>
    <comment ref="I18" authorId="1">
      <text>
        <r>
          <rPr>
            <b/>
            <sz val="9"/>
            <color indexed="81"/>
            <rFont val="Tahoma"/>
            <family val="2"/>
          </rPr>
          <t>John Sullivan:</t>
        </r>
        <r>
          <rPr>
            <sz val="9"/>
            <color indexed="81"/>
            <rFont val="Tahoma"/>
            <family val="2"/>
          </rPr>
          <t xml:space="preserve">
For plant only construction activities, diesel and electricity have been estimated by assuming that Edir is 6.8% of Epc (plant only, not wells or above ground piping for GTP) and of that 25% is electricity and 75% is diesel). See construction data.xlxs or the adjustments page here)</t>
        </r>
      </text>
    </comment>
    <comment ref="Z18" authorId="1">
      <text>
        <r>
          <rPr>
            <b/>
            <sz val="9"/>
            <color indexed="81"/>
            <rFont val="Tahoma"/>
            <family val="2"/>
          </rPr>
          <t>John Sullivan:</t>
        </r>
        <r>
          <rPr>
            <sz val="9"/>
            <color indexed="81"/>
            <rFont val="Tahoma"/>
            <family val="2"/>
          </rPr>
          <t xml:space="preserve">
As per Kendell, we assumed that 8.8% by wt of concrete is water</t>
        </r>
      </text>
    </comment>
    <comment ref="G19" authorId="0">
      <text>
        <r>
          <rPr>
            <b/>
            <sz val="9"/>
            <color indexed="81"/>
            <rFont val="Tahoma"/>
            <family val="2"/>
          </rPr>
          <t>Dr. Sullivan:</t>
        </r>
        <r>
          <rPr>
            <sz val="9"/>
            <color indexed="81"/>
            <rFont val="Tahoma"/>
            <family val="2"/>
          </rPr>
          <t xml:space="preserve">
Cu and brass</t>
        </r>
      </text>
    </comment>
    <comment ref="C20" authorId="1">
      <text>
        <r>
          <rPr>
            <b/>
            <sz val="9"/>
            <color indexed="81"/>
            <rFont val="Tahoma"/>
            <family val="2"/>
          </rPr>
          <t>John Sullivan:</t>
        </r>
        <r>
          <rPr>
            <sz val="9"/>
            <color indexed="81"/>
            <rFont val="Tahoma"/>
            <family val="2"/>
          </rPr>
          <t xml:space="preserve">
These values are all on a per P_well to plant to I_well basis, henceforth denoted as per well</t>
        </r>
      </text>
    </comment>
    <comment ref="I24" authorId="0">
      <text>
        <r>
          <rPr>
            <b/>
            <sz val="9"/>
            <color indexed="81"/>
            <rFont val="Tahoma"/>
            <family val="2"/>
          </rPr>
          <t>Dr. Sullivan:</t>
        </r>
        <r>
          <rPr>
            <sz val="9"/>
            <color indexed="81"/>
            <rFont val="Tahoma"/>
            <family val="2"/>
          </rPr>
          <t xml:space="preserve">
In this array, the user can input his/her own set of MPR data. However, it is recommended that the user copy and paste one of the above sets into this array and adjust them as per user interests. "User defined" exercises are particularly useful for sensitivity analyses.
</t>
        </r>
      </text>
    </comment>
    <comment ref="B27" authorId="0">
      <text>
        <r>
          <rPr>
            <b/>
            <sz val="9"/>
            <color indexed="81"/>
            <rFont val="Tahoma"/>
            <family val="2"/>
          </rPr>
          <t>Dr. Sullivan:</t>
        </r>
        <r>
          <rPr>
            <sz val="9"/>
            <color indexed="81"/>
            <rFont val="Tahoma"/>
            <family val="2"/>
          </rPr>
          <t xml:space="preserve">
This represents inline and submersible pumps</t>
        </r>
      </text>
    </comment>
    <comment ref="C28" authorId="1">
      <text>
        <r>
          <rPr>
            <b/>
            <sz val="9"/>
            <color indexed="81"/>
            <rFont val="Tahoma"/>
            <family val="2"/>
          </rPr>
          <t>John Sullivan:</t>
        </r>
        <r>
          <rPr>
            <sz val="9"/>
            <color indexed="81"/>
            <rFont val="Tahoma"/>
            <family val="2"/>
          </rPr>
          <t xml:space="preserve">
These values are all on a per P_well to plant to I_well basis, henceforth denoted as per well</t>
        </r>
      </text>
    </comment>
  </commentList>
</comments>
</file>

<file path=xl/comments5.xml><?xml version="1.0" encoding="utf-8"?>
<comments xmlns="http://schemas.openxmlformats.org/spreadsheetml/2006/main">
  <authors>
    <author>Dr. Sullivan</author>
    <author>John Sullivan</author>
  </authors>
  <commentList>
    <comment ref="E4" authorId="0">
      <text>
        <r>
          <rPr>
            <b/>
            <sz val="9"/>
            <color indexed="81"/>
            <rFont val="Tahoma"/>
            <family val="2"/>
          </rPr>
          <t>Dr. Sullivan:</t>
        </r>
        <r>
          <rPr>
            <sz val="9"/>
            <color indexed="81"/>
            <rFont val="Tahoma"/>
            <family val="2"/>
          </rPr>
          <t xml:space="preserve">
per well</t>
        </r>
      </text>
    </comment>
    <comment ref="F4" authorId="0">
      <text>
        <r>
          <rPr>
            <b/>
            <sz val="9"/>
            <color indexed="81"/>
            <rFont val="Tahoma"/>
            <family val="2"/>
          </rPr>
          <t>Dr. Sullivan:</t>
        </r>
        <r>
          <rPr>
            <sz val="9"/>
            <color indexed="81"/>
            <rFont val="Tahoma"/>
            <family val="2"/>
          </rPr>
          <t xml:space="preserve">
per well
</t>
        </r>
      </text>
    </comment>
    <comment ref="D6" authorId="0">
      <text>
        <r>
          <rPr>
            <b/>
            <sz val="9"/>
            <color indexed="81"/>
            <rFont val="Tahoma"/>
            <family val="2"/>
          </rPr>
          <t>Dr. Sullivan:</t>
        </r>
        <r>
          <rPr>
            <sz val="9"/>
            <color indexed="81"/>
            <rFont val="Tahoma"/>
            <family val="2"/>
          </rPr>
          <t xml:space="preserve">
with an intermediate casing</t>
        </r>
      </text>
    </comment>
    <comment ref="D10" authorId="0">
      <text>
        <r>
          <rPr>
            <b/>
            <sz val="9"/>
            <color indexed="81"/>
            <rFont val="Tahoma"/>
            <family val="2"/>
          </rPr>
          <t>Dr. Sullivan:</t>
        </r>
        <r>
          <rPr>
            <sz val="9"/>
            <color indexed="81"/>
            <rFont val="Tahoma"/>
            <family val="2"/>
          </rPr>
          <t xml:space="preserve">
Intermediate casing</t>
        </r>
      </text>
    </comment>
    <comment ref="AB10" authorId="1">
      <text>
        <r>
          <rPr>
            <b/>
            <sz val="9"/>
            <color indexed="81"/>
            <rFont val="Tahoma"/>
            <family val="2"/>
          </rPr>
          <t>John Sullivan:</t>
        </r>
        <r>
          <rPr>
            <sz val="9"/>
            <color indexed="81"/>
            <rFont val="Tahoma"/>
            <family val="2"/>
          </rPr>
          <t xml:space="preserve">
</t>
        </r>
      </text>
    </comment>
    <comment ref="D14" authorId="0">
      <text>
        <r>
          <rPr>
            <b/>
            <sz val="9"/>
            <color indexed="81"/>
            <rFont val="Tahoma"/>
            <family val="2"/>
          </rPr>
          <t>Dr. Sullivan:</t>
        </r>
        <r>
          <rPr>
            <sz val="9"/>
            <color indexed="81"/>
            <rFont val="Tahoma"/>
            <family val="2"/>
          </rPr>
          <t xml:space="preserve">
with an intermediate casing</t>
        </r>
      </text>
    </comment>
    <comment ref="D22" authorId="0">
      <text>
        <r>
          <rPr>
            <b/>
            <sz val="9"/>
            <color indexed="81"/>
            <rFont val="Tahoma"/>
            <family val="2"/>
          </rPr>
          <t>Dr. Sullivan:</t>
        </r>
        <r>
          <rPr>
            <sz val="9"/>
            <color indexed="81"/>
            <rFont val="Tahoma"/>
            <family val="2"/>
          </rPr>
          <t xml:space="preserve">
</t>
        </r>
      </text>
    </comment>
    <comment ref="Z28" authorId="1">
      <text>
        <r>
          <rPr>
            <b/>
            <sz val="9"/>
            <color indexed="81"/>
            <rFont val="Tahoma"/>
            <family val="2"/>
          </rPr>
          <t>John Sullivan:</t>
        </r>
        <r>
          <rPr>
            <sz val="9"/>
            <color indexed="81"/>
            <rFont val="Tahoma"/>
            <family val="2"/>
          </rPr>
          <t xml:space="preserve">
From Corrie's "copy of Summary"
</t>
        </r>
      </text>
    </comment>
    <comment ref="AA28" authorId="1">
      <text>
        <r>
          <rPr>
            <b/>
            <sz val="9"/>
            <color indexed="81"/>
            <rFont val="Tahoma"/>
            <family val="2"/>
          </rPr>
          <t>John Sullivan:</t>
        </r>
        <r>
          <rPr>
            <sz val="9"/>
            <color indexed="81"/>
            <rFont val="Tahoma"/>
            <family val="2"/>
          </rPr>
          <t xml:space="preserve">
This is based solely on energy output variation, i.e. (26.2-16.2)/2/20.9</t>
        </r>
      </text>
    </comment>
    <comment ref="D30" authorId="0">
      <text>
        <r>
          <rPr>
            <b/>
            <sz val="9"/>
            <color indexed="81"/>
            <rFont val="Tahoma"/>
            <family val="2"/>
          </rPr>
          <t>Dr. Sullivan:</t>
        </r>
        <r>
          <rPr>
            <sz val="9"/>
            <color indexed="81"/>
            <rFont val="Tahoma"/>
            <family val="2"/>
          </rPr>
          <t xml:space="preserve">
</t>
        </r>
      </text>
    </comment>
    <comment ref="Z35" authorId="1">
      <text>
        <r>
          <rPr>
            <b/>
            <sz val="9"/>
            <color indexed="81"/>
            <rFont val="Tahoma"/>
            <family val="2"/>
          </rPr>
          <t>John Sullivan:</t>
        </r>
        <r>
          <rPr>
            <sz val="9"/>
            <color indexed="81"/>
            <rFont val="Tahoma"/>
            <family val="2"/>
          </rPr>
          <t xml:space="preserve">
From Corrie's "copy of Summary", average value from 3.6 MW electric and 
17.3 MWth from natural gas
</t>
        </r>
      </text>
    </comment>
    <comment ref="AF47" authorId="1">
      <text>
        <r>
          <rPr>
            <b/>
            <sz val="9"/>
            <color indexed="81"/>
            <rFont val="Tahoma"/>
            <family val="2"/>
          </rPr>
          <t>John Sullivan:</t>
        </r>
        <r>
          <rPr>
            <sz val="9"/>
            <color indexed="81"/>
            <rFont val="Tahoma"/>
            <family val="2"/>
          </rPr>
          <t xml:space="preserve">
</t>
        </r>
      </text>
    </comment>
    <comment ref="Y56" authorId="1">
      <text>
        <r>
          <rPr>
            <b/>
            <sz val="9"/>
            <color indexed="81"/>
            <rFont val="Tahoma"/>
            <family val="2"/>
          </rPr>
          <t>John Sullivan:</t>
        </r>
        <r>
          <rPr>
            <sz val="9"/>
            <color indexed="81"/>
            <rFont val="Tahoma"/>
            <family val="2"/>
          </rPr>
          <t xml:space="preserve">
From Corrie's "copy of Summary"
</t>
        </r>
      </text>
    </comment>
    <comment ref="Z56" authorId="1">
      <text>
        <r>
          <rPr>
            <b/>
            <sz val="9"/>
            <color indexed="81"/>
            <rFont val="Tahoma"/>
            <family val="2"/>
          </rPr>
          <t>John Sullivan:</t>
        </r>
        <r>
          <rPr>
            <sz val="9"/>
            <color indexed="81"/>
            <rFont val="Tahoma"/>
            <family val="2"/>
          </rPr>
          <t xml:space="preserve">
This is based solely on energy output variation, i.e. (26.2-16.2)/2/20.9</t>
        </r>
      </text>
    </comment>
    <comment ref="AG76" authorId="1">
      <text>
        <r>
          <rPr>
            <b/>
            <sz val="9"/>
            <color indexed="81"/>
            <rFont val="Tahoma"/>
            <family val="2"/>
          </rPr>
          <t>John Sullivan:</t>
        </r>
        <r>
          <rPr>
            <sz val="9"/>
            <color indexed="81"/>
            <rFont val="Tahoma"/>
            <family val="2"/>
          </rPr>
          <t xml:space="preserve">
</t>
        </r>
      </text>
    </comment>
    <comment ref="AG94" authorId="1">
      <text>
        <r>
          <rPr>
            <b/>
            <sz val="9"/>
            <color indexed="81"/>
            <rFont val="Tahoma"/>
            <family val="2"/>
          </rPr>
          <t>John Sullivan:</t>
        </r>
        <r>
          <rPr>
            <sz val="9"/>
            <color indexed="81"/>
            <rFont val="Tahoma"/>
            <family val="2"/>
          </rPr>
          <t xml:space="preserve">
</t>
        </r>
      </text>
    </comment>
  </commentList>
</comments>
</file>

<file path=xl/comments6.xml><?xml version="1.0" encoding="utf-8"?>
<comments xmlns="http://schemas.openxmlformats.org/spreadsheetml/2006/main">
  <authors>
    <author>Dr. Sullivan</author>
  </authors>
  <commentList>
    <comment ref="C15" authorId="0">
      <text>
        <r>
          <rPr>
            <b/>
            <sz val="9"/>
            <color indexed="81"/>
            <rFont val="Tahoma"/>
            <family val="2"/>
          </rPr>
          <t>Dr. Sullivan:</t>
        </r>
        <r>
          <rPr>
            <sz val="9"/>
            <color indexed="81"/>
            <rFont val="Tahoma"/>
            <family val="2"/>
          </rPr>
          <t xml:space="preserve">
This is extra confirmation wells over and above 3 successful confirmations wells which are assumed to become production wells
These well arise from failled confirmation wells on successful and unsuccessful sites and successful confirmation wells on failed sites.</t>
        </r>
      </text>
    </comment>
    <comment ref="B27" authorId="0">
      <text>
        <r>
          <rPr>
            <b/>
            <sz val="9"/>
            <color indexed="81"/>
            <rFont val="Tahoma"/>
            <family val="2"/>
          </rPr>
          <t>Dr. Sullivan:</t>
        </r>
        <r>
          <rPr>
            <sz val="9"/>
            <color indexed="81"/>
            <rFont val="Tahoma"/>
            <family val="2"/>
          </rPr>
          <t xml:space="preserve">
These rates account for 5 shallow and 2 deep core/slim holes drilled to half depth for the former and to resource depth for the latter.
</t>
        </r>
      </text>
    </comment>
    <comment ref="A33" authorId="0">
      <text>
        <r>
          <rPr>
            <b/>
            <sz val="9"/>
            <color indexed="81"/>
            <rFont val="Tahoma"/>
            <family val="2"/>
          </rPr>
          <t>Dr. Sullivan:</t>
        </r>
        <r>
          <rPr>
            <sz val="9"/>
            <color indexed="81"/>
            <rFont val="Tahoma"/>
            <family val="2"/>
          </rPr>
          <t xml:space="preserve">
It is assumed that core/slim drilling is always done at three sites and the most promising is chosen
</t>
        </r>
      </text>
    </comment>
  </commentList>
</comments>
</file>

<file path=xl/comments7.xml><?xml version="1.0" encoding="utf-8"?>
<comments xmlns="http://schemas.openxmlformats.org/spreadsheetml/2006/main">
  <authors>
    <author>Dr. Sullivan</author>
  </authors>
  <commentList>
    <comment ref="P2" authorId="0">
      <text>
        <r>
          <rPr>
            <b/>
            <sz val="9"/>
            <color indexed="81"/>
            <rFont val="Tahoma"/>
            <family val="2"/>
          </rPr>
          <t>Dr. Sullivan:</t>
        </r>
        <r>
          <rPr>
            <sz val="9"/>
            <color indexed="81"/>
            <rFont val="Tahoma"/>
            <family val="2"/>
          </rPr>
          <t xml:space="preserve">
plastics and or rubber</t>
        </r>
      </text>
    </comment>
    <comment ref="A21" authorId="0">
      <text>
        <r>
          <rPr>
            <b/>
            <sz val="9"/>
            <color indexed="81"/>
            <rFont val="Tahoma"/>
            <family val="2"/>
          </rPr>
          <t>Dr. Sullivan:</t>
        </r>
        <r>
          <rPr>
            <sz val="9"/>
            <color indexed="81"/>
            <rFont val="Tahoma"/>
            <family val="2"/>
          </rPr>
          <t xml:space="preserve">
Operational lifetime in hrs.</t>
        </r>
      </text>
    </comment>
  </commentList>
</comments>
</file>

<file path=xl/comments8.xml><?xml version="1.0" encoding="utf-8"?>
<comments xmlns="http://schemas.openxmlformats.org/spreadsheetml/2006/main">
  <authors>
    <author>Dr. Sullivan</author>
  </authors>
  <commentList>
    <comment ref="B5" authorId="0">
      <text>
        <r>
          <rPr>
            <b/>
            <sz val="9"/>
            <color indexed="81"/>
            <rFont val="Tahoma"/>
            <family val="2"/>
          </rPr>
          <t>Dr. Sullivan:</t>
        </r>
        <r>
          <rPr>
            <sz val="9"/>
            <color indexed="81"/>
            <rFont val="Tahoma"/>
            <family val="2"/>
          </rPr>
          <t xml:space="preserve">
This is the running capacity weighted average.</t>
        </r>
      </text>
    </comment>
  </commentList>
</comments>
</file>

<file path=xl/comments9.xml><?xml version="1.0" encoding="utf-8"?>
<comments xmlns="http://schemas.openxmlformats.org/spreadsheetml/2006/main">
  <authors>
    <author>Dr. Sullivan</author>
  </authors>
  <commentList>
    <comment ref="D3" authorId="0">
      <text>
        <r>
          <rPr>
            <b/>
            <sz val="9"/>
            <color indexed="81"/>
            <rFont val="Tahoma"/>
            <family val="2"/>
          </rPr>
          <t>Dr. Sullivan:</t>
        </r>
        <r>
          <rPr>
            <sz val="9"/>
            <color indexed="81"/>
            <rFont val="Tahoma"/>
            <family val="2"/>
          </rPr>
          <t xml:space="preserve">
Capacity factor</t>
        </r>
      </text>
    </comment>
    <comment ref="I3" authorId="0">
      <text>
        <r>
          <rPr>
            <b/>
            <sz val="9"/>
            <color indexed="81"/>
            <rFont val="Tahoma"/>
            <family val="2"/>
          </rPr>
          <t>Dr. Sullivan:</t>
        </r>
        <r>
          <rPr>
            <sz val="9"/>
            <color indexed="81"/>
            <rFont val="Tahoma"/>
            <family val="2"/>
          </rPr>
          <t xml:space="preserve">
User provides x additional production wells as a surrogate estimate of exploration</t>
        </r>
      </text>
    </comment>
  </commentList>
</comments>
</file>

<file path=xl/sharedStrings.xml><?xml version="1.0" encoding="utf-8"?>
<sst xmlns="http://schemas.openxmlformats.org/spreadsheetml/2006/main" count="728" uniqueCount="342">
  <si>
    <t>HT-Flash</t>
  </si>
  <si>
    <t>Wells</t>
  </si>
  <si>
    <t>Plant capacity --- MW</t>
  </si>
  <si>
    <t>Capacity factor  ---  %</t>
  </si>
  <si>
    <t>Plant lifetime   ---   yrs</t>
  </si>
  <si>
    <t xml:space="preserve"> </t>
  </si>
  <si>
    <t>Aluminum</t>
  </si>
  <si>
    <t>cement</t>
  </si>
  <si>
    <t>concrete</t>
  </si>
  <si>
    <t>copper</t>
  </si>
  <si>
    <t>electricity</t>
  </si>
  <si>
    <t>Diesel</t>
  </si>
  <si>
    <t xml:space="preserve">glass </t>
  </si>
  <si>
    <t>iron</t>
  </si>
  <si>
    <t>Lead</t>
  </si>
  <si>
    <t>oil</t>
  </si>
  <si>
    <t>paint</t>
  </si>
  <si>
    <t>sand</t>
  </si>
  <si>
    <t>Silicon</t>
  </si>
  <si>
    <t>steel</t>
  </si>
  <si>
    <t>wood</t>
  </si>
  <si>
    <t>Salt</t>
  </si>
  <si>
    <t>Zn</t>
  </si>
  <si>
    <t>insulation</t>
  </si>
  <si>
    <t>Water</t>
  </si>
  <si>
    <t>MT</t>
  </si>
  <si>
    <t>mwh</t>
  </si>
  <si>
    <t>liters</t>
  </si>
  <si>
    <t>Well pumps</t>
  </si>
  <si>
    <t>stimulation</t>
  </si>
  <si>
    <t>Well to plant piping</t>
  </si>
  <si>
    <t>water</t>
  </si>
  <si>
    <t>COV</t>
  </si>
  <si>
    <t>tons</t>
  </si>
  <si>
    <t>gal</t>
  </si>
  <si>
    <t>Cement use</t>
  </si>
  <si>
    <t>Liners</t>
  </si>
  <si>
    <t>EGS Variants</t>
  </si>
  <si>
    <t>km</t>
  </si>
  <si>
    <t>ave</t>
  </si>
  <si>
    <t>stdev</t>
  </si>
  <si>
    <t>HT-B Variants</t>
  </si>
  <si>
    <t>Co-produced - Greenfield</t>
  </si>
  <si>
    <t>MT/MW</t>
  </si>
  <si>
    <t>Range</t>
  </si>
  <si>
    <t>Co-prd MWmx</t>
  </si>
  <si>
    <t>mid</t>
  </si>
  <si>
    <t>max</t>
  </si>
  <si>
    <t>min</t>
  </si>
  <si>
    <t>Steel Consumption</t>
  </si>
  <si>
    <t>EGS variants</t>
  </si>
  <si>
    <t>Co-Prd Greenfield</t>
  </si>
  <si>
    <t>CoPrd Greenfield</t>
  </si>
  <si>
    <t>L/MW</t>
  </si>
  <si>
    <t>Water Results</t>
  </si>
  <si>
    <t>Component</t>
  </si>
  <si>
    <t>Plant</t>
  </si>
  <si>
    <t>Plant-to_wells</t>
  </si>
  <si>
    <t>Exploration</t>
  </si>
  <si>
    <t xml:space="preserve">Hydrothermal Binary </t>
  </si>
  <si>
    <t xml:space="preserve">Plant </t>
  </si>
  <si>
    <t>Hydrothermal Flash</t>
  </si>
  <si>
    <t xml:space="preserve">EGS    </t>
  </si>
  <si>
    <t>x</t>
  </si>
  <si>
    <t>Stimulation</t>
  </si>
  <si>
    <t xml:space="preserve">I/P </t>
  </si>
  <si>
    <t>per MW</t>
  </si>
  <si>
    <t>per well</t>
  </si>
  <si>
    <t>per P_well</t>
  </si>
  <si>
    <t>per I_well</t>
  </si>
  <si>
    <t>Basis</t>
  </si>
  <si>
    <t>polymer</t>
  </si>
  <si>
    <t>Pumps</t>
  </si>
  <si>
    <t>Type of plant --- select (x) one</t>
  </si>
  <si>
    <t>Diesel results</t>
  </si>
  <si>
    <t>System</t>
  </si>
  <si>
    <t>liners</t>
  </si>
  <si>
    <t>well depth - km</t>
  </si>
  <si>
    <t>Matrl</t>
  </si>
  <si>
    <t>Cement</t>
  </si>
  <si>
    <t>"5  to 6   "</t>
  </si>
  <si>
    <t>HT-F</t>
  </si>
  <si>
    <t>"1 to 2"</t>
  </si>
  <si>
    <t>"2  to  3"</t>
  </si>
  <si>
    <t>HT-B</t>
  </si>
  <si>
    <t>"0.7 to 2"</t>
  </si>
  <si>
    <t>slope</t>
  </si>
  <si>
    <t>intercept</t>
  </si>
  <si>
    <t>"6  + "</t>
  </si>
  <si>
    <t>value</t>
  </si>
  <si>
    <t>"4   to   5"</t>
  </si>
  <si>
    <t>Steel</t>
  </si>
  <si>
    <t>#well for base set</t>
  </si>
  <si>
    <t xml:space="preserve">MW for base set </t>
  </si>
  <si>
    <t>2 liners for 5 to 6 km</t>
  </si>
  <si>
    <t>1 liner for 3 to 5 km</t>
  </si>
  <si>
    <t>For HT-F</t>
  </si>
  <si>
    <t>3 liners for 6 km +</t>
  </si>
  <si>
    <t>.5 to 2 km</t>
  </si>
  <si>
    <t>For HT-B</t>
  </si>
  <si>
    <t>.5 to 2.5 km</t>
  </si>
  <si>
    <t xml:space="preserve">Well Depth    ----   km  ----   </t>
  </si>
  <si>
    <t>Select (x) one</t>
  </si>
  <si>
    <t xml:space="preserve">diesel </t>
  </si>
  <si>
    <t>units</t>
  </si>
  <si>
    <t>metric tons</t>
  </si>
  <si>
    <t>gallons</t>
  </si>
  <si>
    <t>Value</t>
  </si>
  <si>
    <t>variation</t>
  </si>
  <si>
    <t>MPRs</t>
  </si>
  <si>
    <t>at specified cap.</t>
  </si>
  <si>
    <t>for all wells</t>
  </si>
  <si>
    <t>for all I_wells</t>
  </si>
  <si>
    <t>in all P_wells</t>
  </si>
  <si>
    <t>Interporlation values</t>
  </si>
  <si>
    <t>Values are per well</t>
  </si>
  <si>
    <t>Total</t>
  </si>
  <si>
    <t>Operational wells</t>
  </si>
  <si>
    <t>Input page for the ANL Geothermal Power plant LCA Calculator</t>
  </si>
  <si>
    <t>EGS-B</t>
  </si>
  <si>
    <t>EGS-F</t>
  </si>
  <si>
    <t>intrm casing</t>
  </si>
  <si>
    <t>User defined</t>
  </si>
  <si>
    <t>&lt;N&gt;</t>
  </si>
  <si>
    <t>casing</t>
  </si>
  <si>
    <t>diesel</t>
  </si>
  <si>
    <t>diesel        ---        m3</t>
  </si>
  <si>
    <t>cement     ---   tonne</t>
  </si>
  <si>
    <t>Core/slim hole rates per km depth of resource</t>
  </si>
  <si>
    <t>per km per site</t>
  </si>
  <si>
    <t>number of sites</t>
  </si>
  <si>
    <t>Algorithms below based on Argonne geothermal well field exploration model</t>
  </si>
  <si>
    <t>casing        --    tonne</t>
  </si>
  <si>
    <t>water        ---       gal</t>
  </si>
  <si>
    <t>core/slim</t>
  </si>
  <si>
    <t>From model</t>
  </si>
  <si>
    <t>For assumed C_wells</t>
  </si>
  <si>
    <t>Concrete</t>
  </si>
  <si>
    <t>Copper</t>
  </si>
  <si>
    <t>Electricity</t>
  </si>
  <si>
    <t xml:space="preserve">Glass </t>
  </si>
  <si>
    <t>Iron</t>
  </si>
  <si>
    <t>Oil</t>
  </si>
  <si>
    <t>Paint</t>
  </si>
  <si>
    <t>Plastic</t>
  </si>
  <si>
    <t>Sand</t>
  </si>
  <si>
    <t>kg/kg</t>
  </si>
  <si>
    <t>LT-hr</t>
  </si>
  <si>
    <t>MJ/kg</t>
  </si>
  <si>
    <t>MJ/MWh</t>
  </si>
  <si>
    <t>MJ/l</t>
  </si>
  <si>
    <t>kg/MWh</t>
  </si>
  <si>
    <t>kg/l</t>
  </si>
  <si>
    <t>Energy rates</t>
  </si>
  <si>
    <t>GHG rates</t>
  </si>
  <si>
    <t>Input from "Results Page"</t>
  </si>
  <si>
    <t>Line Losses</t>
  </si>
  <si>
    <t>Variation</t>
  </si>
  <si>
    <t>P &amp; I well</t>
  </si>
  <si>
    <t>"+ 1 stdev"</t>
  </si>
  <si>
    <t>" - 1 stdev"</t>
  </si>
  <si>
    <t>average</t>
  </si>
  <si>
    <t>from &lt;N&gt;</t>
  </si>
  <si>
    <t>"1 stdev"</t>
  </si>
  <si>
    <t>Summary</t>
  </si>
  <si>
    <t>Plant Cycle</t>
  </si>
  <si>
    <t>Fuel Cycle</t>
  </si>
  <si>
    <t>Relevant Metrics</t>
  </si>
  <si>
    <t>Specific information included herein are:</t>
  </si>
  <si>
    <t xml:space="preserve">2: Geothermal MPRs include casing, cement, diesel, and water requirements for drilling wells and </t>
  </si>
  <si>
    <t xml:space="preserve">      topside piping.</t>
  </si>
  <si>
    <t>These data were developed by Argonne National Laboratory: contact person is J. L. Sullivan</t>
  </si>
  <si>
    <t>For detailed discussions on germane methods, models, and metrics, see the reports listed below</t>
  </si>
  <si>
    <t>Sullivan, JL, Clark, C, Han, J., Harto, C., and Wang, M.Q.,  “Cumulative energy, emissions and water consumption for Geothermal Power Production”,  J.  Renew.  Sustain.  Energy, 5, 023127 (2013), doi: 10.1063/1.4798315.</t>
  </si>
  <si>
    <t>Sullivan, J.L., C.E. Clark, J. Han, and M. Wang. 2010. Life-Cycle Analysis Results of Geothermal Systems in Comparison to Other Power Systems, ANL/ESD/10-5.</t>
  </si>
  <si>
    <t>Sullivan, J.L., C.E. Clark, L. Yuan, J. Han, and M. Wang. 2011. Life-Cycle Analysis Results of Geothermal Systems in Comparison to Other Power Systems, Part II, ANL/ESD/11-12.</t>
  </si>
  <si>
    <t>Sullivan, J.L., E. Frank, J. Han, A, Elgowainy, and M. Q. Wang, Geothermal Life Cycle Assessment – Part 3; ANL/ESD 12-15</t>
  </si>
  <si>
    <r>
      <rPr>
        <sz val="11"/>
        <color theme="1"/>
        <rFont val="French Script MT"/>
        <family val="4"/>
      </rPr>
      <t>E</t>
    </r>
    <r>
      <rPr>
        <vertAlign val="subscript"/>
        <sz val="11"/>
        <color theme="1"/>
        <rFont val="Calibri"/>
        <family val="2"/>
        <scheme val="minor"/>
      </rPr>
      <t>pc</t>
    </r>
  </si>
  <si>
    <r>
      <t>ghg</t>
    </r>
    <r>
      <rPr>
        <vertAlign val="subscript"/>
        <sz val="11"/>
        <color theme="1"/>
        <rFont val="Calibri"/>
        <family val="2"/>
        <scheme val="minor"/>
      </rPr>
      <t>pc</t>
    </r>
  </si>
  <si>
    <r>
      <t xml:space="preserve"> 3: </t>
    </r>
    <r>
      <rPr>
        <b/>
        <sz val="11"/>
        <color theme="3" tint="-0.249977111117893"/>
        <rFont val="French Script MT"/>
        <family val="4"/>
      </rPr>
      <t>E</t>
    </r>
    <r>
      <rPr>
        <b/>
        <sz val="11"/>
        <color theme="3" tint="-0.249977111117893"/>
        <rFont val="Calibri"/>
        <family val="2"/>
        <scheme val="minor"/>
      </rPr>
      <t xml:space="preserve"> and ghg values for plant and fuel cycle stages for geothermal power only.</t>
    </r>
  </si>
  <si>
    <r>
      <t>ghg</t>
    </r>
    <r>
      <rPr>
        <vertAlign val="subscript"/>
        <sz val="11"/>
        <rFont val="Calibri"/>
        <family val="2"/>
        <scheme val="minor"/>
      </rPr>
      <t>tot</t>
    </r>
    <r>
      <rPr>
        <sz val="11"/>
        <rFont val="Calibri"/>
        <family val="2"/>
        <scheme val="minor"/>
      </rPr>
      <t xml:space="preserve"> = ghg</t>
    </r>
    <r>
      <rPr>
        <vertAlign val="subscript"/>
        <sz val="11"/>
        <rFont val="Calibri"/>
        <family val="2"/>
        <scheme val="minor"/>
      </rPr>
      <t>pc</t>
    </r>
    <r>
      <rPr>
        <sz val="11"/>
        <rFont val="Calibri"/>
        <family val="2"/>
        <scheme val="minor"/>
      </rPr>
      <t xml:space="preserve"> + ghg</t>
    </r>
    <r>
      <rPr>
        <vertAlign val="subscript"/>
        <sz val="11"/>
        <rFont val="Calibri"/>
        <family val="2"/>
        <scheme val="minor"/>
      </rPr>
      <t>fu</t>
    </r>
  </si>
  <si>
    <r>
      <t xml:space="preserve">Greenhouse gas ratio: ghg = </t>
    </r>
    <r>
      <rPr>
        <b/>
        <sz val="11"/>
        <color theme="3" tint="-0.249977111117893"/>
        <rFont val="Symbol"/>
        <family val="1"/>
        <charset val="2"/>
      </rPr>
      <t>S</t>
    </r>
    <r>
      <rPr>
        <b/>
        <sz val="11"/>
        <color theme="3" tint="-0.249977111117893"/>
        <rFont val="Calibri"/>
        <family val="2"/>
        <scheme val="minor"/>
      </rPr>
      <t>GHG</t>
    </r>
    <r>
      <rPr>
        <b/>
        <vertAlign val="subscript"/>
        <sz val="11"/>
        <color theme="3" tint="-0.249977111117893"/>
        <rFont val="Calibri"/>
        <family val="2"/>
        <scheme val="minor"/>
      </rPr>
      <t>i</t>
    </r>
    <r>
      <rPr>
        <b/>
        <sz val="11"/>
        <color theme="3" tint="-0.249977111117893"/>
        <rFont val="Calibri"/>
        <family val="2"/>
        <scheme val="minor"/>
      </rPr>
      <t xml:space="preserve">/Eout, where </t>
    </r>
    <r>
      <rPr>
        <b/>
        <sz val="11"/>
        <color theme="3" tint="-0.249977111117893"/>
        <rFont val="Symbol"/>
        <family val="1"/>
        <charset val="2"/>
      </rPr>
      <t>S</t>
    </r>
    <r>
      <rPr>
        <b/>
        <sz val="11"/>
        <color theme="3" tint="-0.249977111117893"/>
        <rFont val="Calibri"/>
        <family val="2"/>
        <scheme val="minor"/>
      </rPr>
      <t>GHG</t>
    </r>
    <r>
      <rPr>
        <b/>
        <vertAlign val="subscript"/>
        <sz val="11"/>
        <color theme="3" tint="-0.249977111117893"/>
        <rFont val="Calibri"/>
        <family val="2"/>
        <scheme val="minor"/>
      </rPr>
      <t>i</t>
    </r>
    <r>
      <rPr>
        <b/>
        <sz val="11"/>
        <color theme="3" tint="-0.249977111117893"/>
        <rFont val="Calibri"/>
        <family val="2"/>
        <scheme val="minor"/>
      </rPr>
      <t xml:space="preserve"> is the sum of all incurred greenhouse gas emissions "i" in equivalent CO</t>
    </r>
    <r>
      <rPr>
        <b/>
        <vertAlign val="subscript"/>
        <sz val="11"/>
        <color theme="3" tint="-0.249977111117893"/>
        <rFont val="Calibri"/>
        <family val="2"/>
        <scheme val="minor"/>
      </rPr>
      <t>2</t>
    </r>
    <r>
      <rPr>
        <b/>
        <sz val="11"/>
        <color theme="3" tint="-0.249977111117893"/>
        <rFont val="Calibri"/>
        <family val="2"/>
        <scheme val="minor"/>
      </rPr>
      <t xml:space="preserve"> units. Only in the case of hydrothermal flash and dry steam plants are there any plant operational GHG emissions. Values for this fuel cycle GHG emissions, derived from recent California EPA results, are also provided.</t>
    </r>
  </si>
  <si>
    <r>
      <t>ghg</t>
    </r>
    <r>
      <rPr>
        <vertAlign val="subscript"/>
        <sz val="11"/>
        <color theme="1"/>
        <rFont val="Calibri"/>
        <family val="2"/>
        <scheme val="minor"/>
      </rPr>
      <t>fu</t>
    </r>
  </si>
  <si>
    <t>Maximum</t>
  </si>
  <si>
    <t>Minimum</t>
  </si>
  <si>
    <t>Capacity Weighted Ave.</t>
  </si>
  <si>
    <t>g/kWh</t>
  </si>
  <si>
    <t>Sullivan, J.L. and M.Q. Wang, 2013b, Life Cycle Greenhouse Gas Emissions from Geothermal Electricity Production, J. Renewable &amp; Sustainable Energy, 5, 063122 1-13.</t>
  </si>
  <si>
    <t xml:space="preserve">Sullivan, J. L., T. Stephens, and M. Q. Wang, GEOTHERMAL POWER PRODUCTION: ALTERNATIVE SCENARIOS AND CRITICAL ISSUES, ANL/ESD  - 14/2
</t>
  </si>
  <si>
    <t>The data given in this worksheet were derived from 2012 California EPA GHG emissions reporting data. Data and details can be found in reference 7 - see Summary Sheet</t>
  </si>
  <si>
    <r>
      <t xml:space="preserve">Energy ratio: </t>
    </r>
    <r>
      <rPr>
        <b/>
        <sz val="11"/>
        <color theme="3" tint="-0.249977111117893"/>
        <rFont val="French Script MT"/>
        <family val="4"/>
      </rPr>
      <t>E</t>
    </r>
    <r>
      <rPr>
        <b/>
        <sz val="11"/>
        <color theme="3" tint="-0.249977111117893"/>
        <rFont val="Calibri"/>
        <family val="2"/>
        <scheme val="minor"/>
      </rPr>
      <t xml:space="preserve"> = E</t>
    </r>
    <r>
      <rPr>
        <b/>
        <vertAlign val="subscript"/>
        <sz val="11"/>
        <color theme="3" tint="-0.249977111117893"/>
        <rFont val="Calibri"/>
        <family val="2"/>
        <scheme val="minor"/>
      </rPr>
      <t>in</t>
    </r>
    <r>
      <rPr>
        <b/>
        <sz val="11"/>
        <color theme="3" tint="-0.249977111117893"/>
        <rFont val="Calibri"/>
        <family val="2"/>
        <scheme val="minor"/>
      </rPr>
      <t xml:space="preserve"> /E</t>
    </r>
    <r>
      <rPr>
        <b/>
        <vertAlign val="subscript"/>
        <sz val="11"/>
        <color theme="3" tint="-0.249977111117893"/>
        <rFont val="Calibri"/>
        <family val="2"/>
        <scheme val="minor"/>
      </rPr>
      <t>out</t>
    </r>
    <r>
      <rPr>
        <b/>
        <sz val="11"/>
        <color theme="3" tint="-0.249977111117893"/>
        <rFont val="Calibri"/>
        <family val="2"/>
        <scheme val="minor"/>
      </rPr>
      <t>, where E</t>
    </r>
    <r>
      <rPr>
        <b/>
        <vertAlign val="subscript"/>
        <sz val="11"/>
        <color theme="3" tint="-0.249977111117893"/>
        <rFont val="Calibri"/>
        <family val="2"/>
        <scheme val="minor"/>
      </rPr>
      <t>in</t>
    </r>
    <r>
      <rPr>
        <b/>
        <sz val="11"/>
        <color theme="3" tint="-0.249977111117893"/>
        <rFont val="Calibri"/>
        <family val="2"/>
        <scheme val="minor"/>
      </rPr>
      <t xml:space="preserve"> is system input "fossil energy" and E</t>
    </r>
    <r>
      <rPr>
        <b/>
        <vertAlign val="subscript"/>
        <sz val="11"/>
        <color theme="3" tint="-0.249977111117893"/>
        <rFont val="Calibri"/>
        <family val="2"/>
        <scheme val="minor"/>
      </rPr>
      <t>out</t>
    </r>
    <r>
      <rPr>
        <b/>
        <sz val="11"/>
        <color theme="3" tint="-0.249977111117893"/>
        <rFont val="Calibri"/>
        <family val="2"/>
        <scheme val="minor"/>
      </rPr>
      <t xml:space="preserve"> is lifetime electricity output.</t>
    </r>
  </si>
  <si>
    <t>Plant type</t>
  </si>
  <si>
    <t>Capacity</t>
  </si>
  <si>
    <t>Total operational</t>
  </si>
  <si>
    <t>lifetime</t>
  </si>
  <si>
    <t>MW</t>
  </si>
  <si>
    <t>yrs</t>
  </si>
  <si>
    <t>Cap. Factor</t>
  </si>
  <si>
    <t>Simple addition</t>
  </si>
  <si>
    <t>ANL model</t>
  </si>
  <si>
    <t>EGS</t>
  </si>
  <si>
    <t>Depth</t>
  </si>
  <si>
    <t>MJ/MJ</t>
  </si>
  <si>
    <t>4: Two types of range results are also included in this model:</t>
  </si>
  <si>
    <t>i: Variations in well numbers arising from variations in resource temperature and flow rate</t>
  </si>
  <si>
    <t>ii: Variations arising from a probability of success of drilling successful confirmations wells during well field exploration</t>
  </si>
  <si>
    <t xml:space="preserve">                      1: MPRs (material to power ratios) for:</t>
  </si>
  <si>
    <t xml:space="preserve">                               ii: Hydrothermal flash</t>
  </si>
  <si>
    <t xml:space="preserve">          iii: Hydothermal binary</t>
  </si>
  <si>
    <t xml:space="preserve">                                i: EGS - Enhanced Geothermal Systems</t>
  </si>
  <si>
    <t>Life cycle Inventory Calculator for Geothermal Power Plants</t>
  </si>
  <si>
    <t xml:space="preserve">Life cycle analysis is an environmental assessment method that quantifies the environmental performance of a product system over its entire lifetime, from cradle to grave. Based on a set of relevant metrics, the method is aptly suited for comparing the environmental performance of competing products systems. The LCA for electric power has been broken down into two life cycle stages, namely the plant cycle and the fuel cycle.  </t>
  </si>
  <si>
    <r>
      <t>Two key environmental life cycle metrics for electric power production are the fossil energy (</t>
    </r>
    <r>
      <rPr>
        <b/>
        <sz val="11"/>
        <color theme="3" tint="-0.249977111117893"/>
        <rFont val="French Script MT"/>
        <family val="4"/>
      </rPr>
      <t>E</t>
    </r>
    <r>
      <rPr>
        <b/>
        <vertAlign val="subscript"/>
        <sz val="11"/>
        <color theme="3" tint="-0.249977111117893"/>
        <rFont val="Calibri"/>
        <family val="2"/>
        <scheme val="minor"/>
      </rPr>
      <t>tot</t>
    </r>
    <r>
      <rPr>
        <b/>
        <sz val="11"/>
        <color theme="3" tint="-0.249977111117893"/>
        <rFont val="Calibri"/>
        <family val="2"/>
        <scheme val="minor"/>
      </rPr>
      <t>) and ghg</t>
    </r>
    <r>
      <rPr>
        <b/>
        <vertAlign val="subscript"/>
        <sz val="11"/>
        <color theme="3" tint="-0.249977111117893"/>
        <rFont val="Calibri"/>
        <family val="2"/>
        <scheme val="minor"/>
      </rPr>
      <t>tot</t>
    </r>
    <r>
      <rPr>
        <b/>
        <sz val="11"/>
        <color theme="3" tint="-0.249977111117893"/>
        <rFont val="Calibri"/>
        <family val="2"/>
        <scheme val="minor"/>
      </rPr>
      <t xml:space="preserve"> ratios. This calculator computes these two metrics for geothermal power production. The two metrics are the total fossil energy consumed (E) and total GHGs emitted over plant lifetime divided by total electricity output (E</t>
    </r>
    <r>
      <rPr>
        <b/>
        <vertAlign val="subscript"/>
        <sz val="11"/>
        <color theme="3" tint="-0.249977111117893"/>
        <rFont val="Calibri"/>
        <family val="2"/>
        <scheme val="minor"/>
      </rPr>
      <t>out</t>
    </r>
    <r>
      <rPr>
        <b/>
        <sz val="11"/>
        <color theme="3" tint="-0.249977111117893"/>
        <rFont val="Calibri"/>
        <family val="2"/>
        <scheme val="minor"/>
      </rPr>
      <t xml:space="preserve">). The calculator accounts for both plant and fuel cycle components of the two metrics. </t>
    </r>
  </si>
  <si>
    <t>Fuel cycle component coverage for geothermal electricity is based on California EPA data. In the case of geothermal power, there are no fossil energy consumptions in the fuel cycle but for some geothermal there are GHG emissions.</t>
  </si>
  <si>
    <t>More detailed discussions of these metrics can be found in the references given below.</t>
  </si>
  <si>
    <t xml:space="preserve">For the cycle (pc), the data required include compositional materials for plants, equipment, and in the case of geothermal wells and topside piping, and data on the fuels required to make these materials and conduct construction activities. From these data, material to power ratios (MPR) were computed based on plant net capacity. </t>
  </si>
  <si>
    <t>The fuel cycle (fc) has two components: fuel production (fp) and fuel use (fu). Information on the production and use of a wide range of fuels are readily available in the Argonne GREET1 model, including the fuel cycles of electricity production.</t>
  </si>
  <si>
    <t xml:space="preserve">In general, </t>
  </si>
  <si>
    <r>
      <rPr>
        <b/>
        <sz val="11"/>
        <color theme="3" tint="-0.249977111117893"/>
        <rFont val="French Script MT"/>
        <family val="4"/>
      </rPr>
      <t>E</t>
    </r>
    <r>
      <rPr>
        <b/>
        <vertAlign val="subscript"/>
        <sz val="11"/>
        <color theme="3" tint="-0.249977111117893"/>
        <rFont val="Calibri"/>
        <family val="2"/>
        <scheme val="minor"/>
      </rPr>
      <t>tot</t>
    </r>
    <r>
      <rPr>
        <b/>
        <sz val="11"/>
        <color theme="3" tint="-0.249977111117893"/>
        <rFont val="Calibri"/>
        <family val="2"/>
        <scheme val="minor"/>
      </rPr>
      <t xml:space="preserve">   =  </t>
    </r>
    <r>
      <rPr>
        <b/>
        <sz val="11"/>
        <color theme="3" tint="-0.249977111117893"/>
        <rFont val="French Script MT"/>
        <family val="4"/>
      </rPr>
      <t>E</t>
    </r>
    <r>
      <rPr>
        <b/>
        <vertAlign val="subscript"/>
        <sz val="11"/>
        <color theme="3" tint="-0.249977111117893"/>
        <rFont val="Calibri"/>
        <family val="2"/>
        <scheme val="minor"/>
      </rPr>
      <t>pc</t>
    </r>
    <r>
      <rPr>
        <b/>
        <sz val="11"/>
        <color theme="3" tint="-0.249977111117893"/>
        <rFont val="Calibri"/>
        <family val="2"/>
        <scheme val="minor"/>
      </rPr>
      <t xml:space="preserve">   +  </t>
    </r>
    <r>
      <rPr>
        <b/>
        <sz val="11"/>
        <color theme="3" tint="-0.249977111117893"/>
        <rFont val="French Script MT"/>
        <family val="4"/>
      </rPr>
      <t>E</t>
    </r>
    <r>
      <rPr>
        <b/>
        <vertAlign val="subscript"/>
        <sz val="11"/>
        <color theme="3" tint="-0.249977111117893"/>
        <rFont val="Calibri"/>
        <family val="2"/>
        <scheme val="minor"/>
      </rPr>
      <t>fc</t>
    </r>
  </si>
  <si>
    <r>
      <t>ghg</t>
    </r>
    <r>
      <rPr>
        <b/>
        <vertAlign val="subscript"/>
        <sz val="11"/>
        <color theme="3" tint="-0.249977111117893"/>
        <rFont val="Calibri"/>
        <family val="2"/>
        <scheme val="minor"/>
      </rPr>
      <t>tot</t>
    </r>
    <r>
      <rPr>
        <b/>
        <sz val="11"/>
        <color theme="3" tint="-0.249977111117893"/>
        <rFont val="Calibri"/>
        <family val="2"/>
        <scheme val="minor"/>
      </rPr>
      <t xml:space="preserve">   =   ghg</t>
    </r>
    <r>
      <rPr>
        <b/>
        <vertAlign val="subscript"/>
        <sz val="11"/>
        <color theme="3" tint="-0.249977111117893"/>
        <rFont val="Calibri"/>
        <family val="2"/>
        <scheme val="minor"/>
      </rPr>
      <t>pc</t>
    </r>
    <r>
      <rPr>
        <b/>
        <sz val="11"/>
        <color theme="3" tint="-0.249977111117893"/>
        <rFont val="Calibri"/>
        <family val="2"/>
        <scheme val="minor"/>
      </rPr>
      <t xml:space="preserve">   +   ghg</t>
    </r>
    <r>
      <rPr>
        <b/>
        <vertAlign val="subscript"/>
        <sz val="11"/>
        <color theme="3" tint="-0.249977111117893"/>
        <rFont val="Calibri"/>
        <family val="2"/>
        <scheme val="minor"/>
      </rPr>
      <t>fc</t>
    </r>
  </si>
  <si>
    <t>With intermediate  casing 2 km +</t>
  </si>
  <si>
    <t>With intermediate casing 2 km +</t>
  </si>
  <si>
    <t>Blank</t>
  </si>
  <si>
    <t>There are two contributors to well field exploration in the Argonne Explorations model; they are:</t>
  </si>
  <si>
    <t>1)  The drilling of core and slim holes on a set of three potential sites for a geothermal plant; this number is fixed (see comment in B19)</t>
  </si>
  <si>
    <t>The page offers two approaches to quantifying well field exploration:</t>
  </si>
  <si>
    <t>1 - User specified number of confirmations wells as an exploration estimate</t>
  </si>
  <si>
    <t xml:space="preserve">2 - Results from the Argonne Exploration model. For a detailed discussion of the model, see Section 5 of Reference 6. </t>
  </si>
  <si>
    <t>2)  The drilling of confirmations wells on the site of the three with presumably the most potential:</t>
  </si>
  <si>
    <t>No more than 5 Confirmation wells drilled on a high potential site; if 3 are a success, the site is declared a success.</t>
  </si>
  <si>
    <t>Confirmation well Numbers from Spreadsheet Model</t>
  </si>
  <si>
    <t>A spreadsheet model was used to estimate site success rates from multiple model runs.</t>
  </si>
  <si>
    <t>This estimate depends on assumed values of well drilling probability (P) of success, which in turn determines site success rate</t>
  </si>
  <si>
    <t>P</t>
  </si>
  <si>
    <t>Site success Rate</t>
  </si>
  <si>
    <t>Average</t>
  </si>
  <si>
    <t>" Ave.- 1 stdev"</t>
  </si>
  <si>
    <t>"Ave. + 1 stdev"</t>
  </si>
  <si>
    <r>
      <t>E</t>
    </r>
    <r>
      <rPr>
        <vertAlign val="subscript"/>
        <sz val="11"/>
        <color theme="1"/>
        <rFont val="Calibri"/>
        <family val="2"/>
        <scheme val="minor"/>
      </rPr>
      <t>in</t>
    </r>
  </si>
  <si>
    <t>Plant cycle Energy and GHG Results</t>
  </si>
  <si>
    <t>MJ</t>
  </si>
  <si>
    <r>
      <t xml:space="preserve">For geothermal, there is no fossil fuel consumption in the fuel cycle (therefore </t>
    </r>
    <r>
      <rPr>
        <b/>
        <sz val="11"/>
        <color theme="3" tint="-0.249977111117893"/>
        <rFont val="French Script MT"/>
        <family val="4"/>
      </rPr>
      <t>E</t>
    </r>
    <r>
      <rPr>
        <b/>
        <vertAlign val="subscript"/>
        <sz val="11"/>
        <color theme="3" tint="-0.249977111117893"/>
        <rFont val="Calibri"/>
        <family val="2"/>
        <scheme val="minor"/>
      </rPr>
      <t>fc</t>
    </r>
    <r>
      <rPr>
        <b/>
        <sz val="11"/>
        <color theme="3" tint="-0.249977111117893"/>
        <rFont val="Calibri"/>
        <family val="2"/>
        <scheme val="minor"/>
      </rPr>
      <t xml:space="preserve"> = 0) but there are GHG emissions in the fuel use stage for some plants. </t>
    </r>
  </si>
  <si>
    <t xml:space="preserve">User Defined </t>
  </si>
  <si>
    <t xml:space="preserve">User defined                 </t>
  </si>
  <si>
    <t>Other</t>
  </si>
  <si>
    <t>Instructions</t>
  </si>
  <si>
    <t>Specify a well depth that is reasonably consistent with the range shown in the scenario choice</t>
  </si>
  <si>
    <t>5. If exploration life cycle burdens are desired, specify the approach desired.</t>
  </si>
  <si>
    <t>3. Specify plant/wells distance</t>
  </si>
  <si>
    <t>4. Specifiy the number of wells, number of production wells, and the injection to production well ratio</t>
  </si>
  <si>
    <t>6. If variation is desired, select one or both sources</t>
  </si>
  <si>
    <t>Sensitivity analyses can be conducted by varying:</t>
  </si>
  <si>
    <t>well depth</t>
  </si>
  <si>
    <t>well to plant to well distances</t>
  </si>
  <si>
    <t>number of wells</t>
  </si>
  <si>
    <t>plant capacity</t>
  </si>
  <si>
    <t>plant lifetime</t>
  </si>
  <si>
    <t>capacity factor</t>
  </si>
  <si>
    <t>MPRs using "user defined" option</t>
  </si>
  <si>
    <t>well field exploration approach</t>
  </si>
  <si>
    <r>
      <rPr>
        <b/>
        <sz val="11"/>
        <color theme="3" tint="-0.249977111117893"/>
        <rFont val="French Script MT"/>
        <family val="4"/>
      </rPr>
      <t>E</t>
    </r>
    <r>
      <rPr>
        <b/>
        <vertAlign val="subscript"/>
        <sz val="11"/>
        <color theme="3" tint="-0.249977111117893"/>
        <rFont val="Calibri"/>
        <family val="2"/>
        <scheme val="minor"/>
      </rPr>
      <t>pc</t>
    </r>
  </si>
  <si>
    <r>
      <t>ghg</t>
    </r>
    <r>
      <rPr>
        <b/>
        <vertAlign val="subscript"/>
        <sz val="11"/>
        <color theme="3" tint="-0.249977111117893"/>
        <rFont val="Calibri"/>
        <family val="2"/>
        <scheme val="minor"/>
      </rPr>
      <t>pc</t>
    </r>
  </si>
  <si>
    <t>Key output metrics are found on the "Results Page"; they  are:</t>
  </si>
  <si>
    <t>line losses</t>
  </si>
  <si>
    <t>for exploration</t>
  </si>
  <si>
    <t>for all opertnl wells</t>
  </si>
  <si>
    <t>1 stdev</t>
  </si>
  <si>
    <t>gal/MW</t>
  </si>
  <si>
    <t>mwh/MW</t>
  </si>
  <si>
    <t>liters/MW</t>
  </si>
  <si>
    <t>Results</t>
  </si>
  <si>
    <t>1. Choose the geothermal technology of interest from cells B9-B16</t>
  </si>
  <si>
    <t>2. Select a well scenario from cells B19-B30 consistent with the geothermal technology being explored.</t>
  </si>
  <si>
    <t>MPR</t>
  </si>
  <si>
    <t>fp</t>
  </si>
  <si>
    <t>fu</t>
  </si>
  <si>
    <t>pc</t>
  </si>
  <si>
    <t>tot</t>
  </si>
  <si>
    <t>GREET</t>
  </si>
  <si>
    <t>Distance from  P_well to plant to I_well  -- km</t>
  </si>
  <si>
    <t>P_well</t>
  </si>
  <si>
    <t>I_well</t>
  </si>
  <si>
    <t>C_well</t>
  </si>
  <si>
    <t>fc</t>
  </si>
  <si>
    <t>Confirmation well</t>
  </si>
  <si>
    <t>Enhanced Geothermal System</t>
  </si>
  <si>
    <r>
      <rPr>
        <sz val="11"/>
        <color theme="1"/>
        <rFont val="French Script MT"/>
        <family val="4"/>
      </rPr>
      <t>E</t>
    </r>
    <r>
      <rPr>
        <vertAlign val="subscript"/>
        <sz val="11"/>
        <color theme="1"/>
        <rFont val="Calibri"/>
        <family val="2"/>
        <scheme val="minor"/>
      </rPr>
      <t>fc</t>
    </r>
  </si>
  <si>
    <t>Fossil energy input</t>
  </si>
  <si>
    <r>
      <t>E</t>
    </r>
    <r>
      <rPr>
        <vertAlign val="subscript"/>
        <sz val="11"/>
        <color theme="1"/>
        <rFont val="Calibri"/>
        <family val="2"/>
        <scheme val="minor"/>
      </rPr>
      <t>out</t>
    </r>
  </si>
  <si>
    <t>Life time electricity output</t>
  </si>
  <si>
    <r>
      <t>Energy ratio of fuel cycle fossil energy input divided by E</t>
    </r>
    <r>
      <rPr>
        <vertAlign val="subscript"/>
        <sz val="11"/>
        <color theme="1"/>
        <rFont val="Calibri"/>
        <family val="2"/>
        <scheme val="minor"/>
      </rPr>
      <t>out</t>
    </r>
  </si>
  <si>
    <r>
      <t>Energy ratio of plant cycle fossil energy input divided by E</t>
    </r>
    <r>
      <rPr>
        <vertAlign val="subscript"/>
        <sz val="11"/>
        <color theme="1"/>
        <rFont val="Calibri"/>
        <family val="2"/>
        <scheme val="minor"/>
      </rPr>
      <t>out</t>
    </r>
  </si>
  <si>
    <r>
      <rPr>
        <sz val="11"/>
        <color theme="1"/>
        <rFont val="French Script MT"/>
        <family val="4"/>
      </rPr>
      <t>E</t>
    </r>
    <r>
      <rPr>
        <vertAlign val="subscript"/>
        <sz val="11"/>
        <color theme="1"/>
        <rFont val="Calibri"/>
        <family val="2"/>
        <scheme val="minor"/>
      </rPr>
      <t>tot</t>
    </r>
  </si>
  <si>
    <r>
      <t>Energy ratio of pc + fc fossil energy input divided by E</t>
    </r>
    <r>
      <rPr>
        <vertAlign val="subscript"/>
        <sz val="11"/>
        <color theme="1"/>
        <rFont val="Calibri"/>
        <family val="2"/>
        <scheme val="minor"/>
      </rPr>
      <t>out</t>
    </r>
  </si>
  <si>
    <t>Fuel cycle</t>
  </si>
  <si>
    <t>Fuel production</t>
  </si>
  <si>
    <t>Fuel use</t>
  </si>
  <si>
    <r>
      <t>ghg</t>
    </r>
    <r>
      <rPr>
        <vertAlign val="subscript"/>
        <sz val="11"/>
        <color theme="1"/>
        <rFont val="Calibri"/>
        <family val="2"/>
        <scheme val="minor"/>
      </rPr>
      <t>tot</t>
    </r>
  </si>
  <si>
    <r>
      <t>Plant cycle GHG emissions divided by E</t>
    </r>
    <r>
      <rPr>
        <vertAlign val="subscript"/>
        <sz val="11"/>
        <color theme="1"/>
        <rFont val="Calibri"/>
        <family val="2"/>
        <scheme val="minor"/>
      </rPr>
      <t>out</t>
    </r>
  </si>
  <si>
    <t>GHG</t>
  </si>
  <si>
    <t>Greenhouse gases</t>
  </si>
  <si>
    <r>
      <t>ghg</t>
    </r>
    <r>
      <rPr>
        <vertAlign val="subscript"/>
        <sz val="11"/>
        <color theme="1"/>
        <rFont val="Calibri"/>
        <family val="2"/>
        <scheme val="minor"/>
      </rPr>
      <t>fc</t>
    </r>
  </si>
  <si>
    <r>
      <t>Sum of Fuel cycle GHG emissions from fp and fu divided by E</t>
    </r>
    <r>
      <rPr>
        <vertAlign val="subscript"/>
        <sz val="11"/>
        <color theme="1"/>
        <rFont val="Calibri"/>
        <family val="2"/>
        <scheme val="minor"/>
      </rPr>
      <t>out</t>
    </r>
  </si>
  <si>
    <r>
      <t>Sum of fc and pc GHG emissions divided by E</t>
    </r>
    <r>
      <rPr>
        <vertAlign val="subscript"/>
        <sz val="11"/>
        <color theme="1"/>
        <rFont val="Calibri"/>
        <family val="2"/>
        <scheme val="minor"/>
      </rPr>
      <t>out</t>
    </r>
  </si>
  <si>
    <t>Greenhouse gases, Regulated Emissions and Energy in Transportation Model</t>
  </si>
  <si>
    <t>Hydothermal Flash (and dry steam) plant</t>
  </si>
  <si>
    <t>Hydothermal Binary plant</t>
  </si>
  <si>
    <t>Injection well</t>
  </si>
  <si>
    <t>Material to power ratio</t>
  </si>
  <si>
    <t>Production well</t>
  </si>
  <si>
    <t xml:space="preserve">Plant cycle </t>
  </si>
  <si>
    <t>Denotes total from the life cycle stages of pc and fc</t>
  </si>
  <si>
    <t>EGS flash (dry steam) plant</t>
  </si>
  <si>
    <t>EGS Binary plant</t>
  </si>
  <si>
    <t>EGS -F</t>
  </si>
  <si>
    <t>EGS - B</t>
  </si>
  <si>
    <t>For EGS-F</t>
  </si>
  <si>
    <t>For EGS-B</t>
  </si>
  <si>
    <t>Nomenclature</t>
  </si>
  <si>
    <t>P_wells</t>
  </si>
  <si>
    <t>I/P</t>
  </si>
  <si>
    <t>Ratio of number of I_wells over P_wells</t>
  </si>
  <si>
    <t>Exploration Approach   ----      select (x) one</t>
  </si>
  <si>
    <t>ANL exploration model</t>
  </si>
  <si>
    <t xml:space="preserve"> P_wells</t>
  </si>
  <si>
    <t>Variations due to   -- Choose (x) any or all</t>
  </si>
  <si>
    <t>T</t>
  </si>
  <si>
    <t>Resource temperature</t>
  </si>
  <si>
    <t>FR</t>
  </si>
  <si>
    <t>Geofluid flow rate from a geothermal resource</t>
  </si>
  <si>
    <t>Well field exploration</t>
  </si>
  <si>
    <t>Variations in field T and FR</t>
  </si>
  <si>
    <t>GETEM</t>
  </si>
  <si>
    <t>Geothermal Electricity Technology Evaluation Model</t>
  </si>
  <si>
    <t>Plant Performance Parameters</t>
  </si>
  <si>
    <t>This calculator is based on data developed by Argonne for DOE's Geothermal Technology Office. The plant cycle component is  computed from material to power ratio (MPR) data derived from four models representing key material consumption components of geothermal power production life cycles: 1) ICARUS - (a subset of ASPEN models) for plants buildings and equipment, 2) an Argonne model for well field materials and fuels, 3) an Argonne model for well to plant piping materials and fuels, and finally 4) an Argonne model for well field exploration.</t>
  </si>
  <si>
    <t>Megawatt</t>
  </si>
  <si>
    <t>kWh</t>
  </si>
  <si>
    <t>g</t>
  </si>
  <si>
    <t>Gram</t>
  </si>
  <si>
    <t>Kilowatt hour</t>
  </si>
  <si>
    <t>Megajoule</t>
  </si>
</sst>
</file>

<file path=xl/styles.xml><?xml version="1.0" encoding="utf-8"?>
<styleSheet xmlns="http://schemas.openxmlformats.org/spreadsheetml/2006/main">
  <numFmts count="5">
    <numFmt numFmtId="164" formatCode="#,##0.0"/>
    <numFmt numFmtId="165" formatCode="0.0"/>
    <numFmt numFmtId="166" formatCode="0.000"/>
    <numFmt numFmtId="167" formatCode="#,##0.000"/>
    <numFmt numFmtId="168" formatCode="0.0000"/>
  </numFmts>
  <fonts count="31">
    <font>
      <sz val="11"/>
      <color theme="1"/>
      <name val="Calibri"/>
      <family val="2"/>
      <scheme val="minor"/>
    </font>
    <font>
      <b/>
      <sz val="14"/>
      <color rgb="FFC00000"/>
      <name val="Calibri"/>
      <family val="2"/>
      <scheme val="minor"/>
    </font>
    <font>
      <sz val="9"/>
      <color indexed="81"/>
      <name val="Tahoma"/>
      <family val="2"/>
    </font>
    <font>
      <b/>
      <sz val="9"/>
      <color indexed="81"/>
      <name val="Tahoma"/>
      <family val="2"/>
    </font>
    <font>
      <b/>
      <sz val="12"/>
      <color rgb="FFFF0000"/>
      <name val="Calibri"/>
      <family val="2"/>
      <scheme val="minor"/>
    </font>
    <font>
      <b/>
      <sz val="11"/>
      <color rgb="FFC00000"/>
      <name val="Calibri"/>
      <family val="2"/>
      <scheme val="minor"/>
    </font>
    <font>
      <sz val="10"/>
      <color theme="1"/>
      <name val="Calibri"/>
      <family val="2"/>
      <scheme val="minor"/>
    </font>
    <font>
      <b/>
      <sz val="11"/>
      <color rgb="FFFF0000"/>
      <name val="Calibri"/>
      <family val="2"/>
      <scheme val="minor"/>
    </font>
    <font>
      <b/>
      <sz val="11"/>
      <color rgb="FF9F2A21"/>
      <name val="Calibri"/>
      <family val="2"/>
      <scheme val="minor"/>
    </font>
    <font>
      <vertAlign val="superscript"/>
      <sz val="9"/>
      <color indexed="81"/>
      <name val="Tahoma"/>
      <family val="2"/>
    </font>
    <font>
      <sz val="11"/>
      <name val="Calibri"/>
      <family val="2"/>
      <scheme val="minor"/>
    </font>
    <font>
      <sz val="11"/>
      <color rgb="FF9F2A21"/>
      <name val="Calibri"/>
      <family val="2"/>
      <scheme val="minor"/>
    </font>
    <font>
      <b/>
      <sz val="11"/>
      <color theme="3" tint="-0.249977111117893"/>
      <name val="Calibri"/>
      <family val="2"/>
      <scheme val="minor"/>
    </font>
    <font>
      <sz val="11"/>
      <color theme="5" tint="-0.249977111117893"/>
      <name val="Calibri"/>
      <family val="2"/>
      <scheme val="minor"/>
    </font>
    <font>
      <sz val="10"/>
      <name val="Arial"/>
      <family val="2"/>
    </font>
    <font>
      <b/>
      <sz val="8"/>
      <name val="Arial"/>
      <family val="2"/>
    </font>
    <font>
      <b/>
      <sz val="8"/>
      <color indexed="54"/>
      <name val="Arial"/>
      <family val="2"/>
    </font>
    <font>
      <sz val="11"/>
      <color theme="1"/>
      <name val="Calibri"/>
      <family val="2"/>
      <scheme val="minor"/>
    </font>
    <font>
      <b/>
      <sz val="12"/>
      <color rgb="FFC00000"/>
      <name val="Calibri"/>
      <family val="2"/>
      <scheme val="minor"/>
    </font>
    <font>
      <b/>
      <vertAlign val="subscript"/>
      <sz val="11"/>
      <color theme="3" tint="-0.249977111117893"/>
      <name val="Calibri"/>
      <family val="2"/>
      <scheme val="minor"/>
    </font>
    <font>
      <b/>
      <sz val="11"/>
      <color theme="3" tint="-0.249977111117893"/>
      <name val="Symbol"/>
      <family val="1"/>
      <charset val="2"/>
    </font>
    <font>
      <sz val="12"/>
      <color theme="1"/>
      <name val="Times New Roman"/>
      <family val="1"/>
    </font>
    <font>
      <sz val="9"/>
      <color theme="1"/>
      <name val="Times New Roman"/>
      <family val="1"/>
    </font>
    <font>
      <b/>
      <sz val="11"/>
      <color theme="3" tint="-0.249977111117893"/>
      <name val="French Script MT"/>
      <family val="4"/>
    </font>
    <font>
      <sz val="11"/>
      <color theme="1"/>
      <name val="French Script MT"/>
      <family val="4"/>
    </font>
    <font>
      <vertAlign val="subscript"/>
      <sz val="11"/>
      <color theme="1"/>
      <name val="Calibri"/>
      <family val="2"/>
      <scheme val="minor"/>
    </font>
    <font>
      <vertAlign val="subscript"/>
      <sz val="11"/>
      <name val="Calibri"/>
      <family val="2"/>
      <scheme val="minor"/>
    </font>
    <font>
      <sz val="11"/>
      <color theme="3" tint="-0.249977111117893"/>
      <name val="Calibri"/>
      <family val="2"/>
      <scheme val="minor"/>
    </font>
    <font>
      <b/>
      <sz val="11"/>
      <color theme="5" tint="-0.249977111117893"/>
      <name val="Calibri"/>
      <family val="2"/>
      <scheme val="minor"/>
    </font>
    <font>
      <sz val="9"/>
      <color theme="1"/>
      <name val="Calibri"/>
      <family val="2"/>
      <scheme val="minor"/>
    </font>
    <font>
      <sz val="16"/>
      <color rgb="FFC00000"/>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8" tint="-0.249977111117893"/>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3">
    <xf numFmtId="0" fontId="0" fillId="0" borderId="0"/>
    <xf numFmtId="0" fontId="14" fillId="0" borderId="40"/>
    <xf numFmtId="0" fontId="17" fillId="0" borderId="0"/>
  </cellStyleXfs>
  <cellXfs count="707">
    <xf numFmtId="0" fontId="0" fillId="0" borderId="0" xfId="0"/>
    <xf numFmtId="0" fontId="0" fillId="0" borderId="0" xfId="0" applyAlignment="1">
      <alignment horizontal="center"/>
    </xf>
    <xf numFmtId="0" fontId="1" fillId="0" borderId="0" xfId="0" applyFont="1" applyFill="1" applyBorder="1" applyAlignment="1">
      <alignment horizontal="center" vertical="center"/>
    </xf>
    <xf numFmtId="0" fontId="0" fillId="3" borderId="2" xfId="0" applyFill="1" applyBorder="1"/>
    <xf numFmtId="0" fontId="0" fillId="0" borderId="0" xfId="0" applyAlignment="1">
      <alignment wrapText="1"/>
    </xf>
    <xf numFmtId="0" fontId="0" fillId="3" borderId="7" xfId="0" applyFill="1" applyBorder="1" applyAlignment="1">
      <alignment horizontal="center" wrapText="1"/>
    </xf>
    <xf numFmtId="0" fontId="0" fillId="3" borderId="0" xfId="0" applyFill="1" applyBorder="1" applyAlignment="1">
      <alignment horizontal="center" wrapText="1"/>
    </xf>
    <xf numFmtId="0" fontId="5" fillId="0" borderId="0" xfId="0" applyFont="1" applyFill="1"/>
    <xf numFmtId="0" fontId="6" fillId="3" borderId="4" xfId="0" applyFont="1" applyFill="1" applyBorder="1" applyAlignment="1">
      <alignment horizontal="center"/>
    </xf>
    <xf numFmtId="0" fontId="6" fillId="3" borderId="5" xfId="0" applyFont="1" applyFill="1" applyBorder="1" applyAlignment="1">
      <alignment horizontal="center"/>
    </xf>
    <xf numFmtId="0" fontId="0" fillId="3" borderId="5" xfId="0" applyFill="1" applyBorder="1" applyAlignment="1">
      <alignment horizontal="center"/>
    </xf>
    <xf numFmtId="0" fontId="0" fillId="0" borderId="0" xfId="0" applyFill="1" applyBorder="1" applyAlignment="1">
      <alignment horizontal="center"/>
    </xf>
    <xf numFmtId="0" fontId="7" fillId="0" borderId="0" xfId="0" applyFont="1" applyFill="1"/>
    <xf numFmtId="0" fontId="0" fillId="0" borderId="0" xfId="0" applyFill="1"/>
    <xf numFmtId="3" fontId="0" fillId="0" borderId="0" xfId="0" applyNumberFormat="1" applyAlignment="1">
      <alignment horizontal="center"/>
    </xf>
    <xf numFmtId="0" fontId="5" fillId="0" borderId="0" xfId="0" applyFont="1" applyFill="1" applyBorder="1" applyAlignment="1">
      <alignment horizontal="right"/>
    </xf>
    <xf numFmtId="164" fontId="0" fillId="0" borderId="0" xfId="0" applyNumberFormat="1" applyAlignment="1">
      <alignment horizontal="center"/>
    </xf>
    <xf numFmtId="164" fontId="0" fillId="4" borderId="0" xfId="0" applyNumberFormat="1" applyFill="1" applyBorder="1" applyAlignment="1">
      <alignment horizontal="center"/>
    </xf>
    <xf numFmtId="3" fontId="0" fillId="4" borderId="0" xfId="0" applyNumberFormat="1" applyFill="1" applyBorder="1" applyAlignment="1">
      <alignment horizontal="center"/>
    </xf>
    <xf numFmtId="4" fontId="0" fillId="4" borderId="0" xfId="0" applyNumberFormat="1" applyFill="1" applyBorder="1" applyAlignment="1">
      <alignment horizontal="center"/>
    </xf>
    <xf numFmtId="164" fontId="0" fillId="4" borderId="5" xfId="0" applyNumberFormat="1" applyFill="1" applyBorder="1" applyAlignment="1">
      <alignment horizontal="center"/>
    </xf>
    <xf numFmtId="3" fontId="0" fillId="4" borderId="5" xfId="0" applyNumberFormat="1" applyFill="1" applyBorder="1" applyAlignment="1">
      <alignment horizontal="center"/>
    </xf>
    <xf numFmtId="4" fontId="0" fillId="4" borderId="5" xfId="0" applyNumberFormat="1" applyFill="1" applyBorder="1" applyAlignment="1">
      <alignment horizontal="center"/>
    </xf>
    <xf numFmtId="164" fontId="0" fillId="5" borderId="0" xfId="0" applyNumberFormat="1" applyFill="1" applyBorder="1" applyAlignment="1">
      <alignment horizontal="center"/>
    </xf>
    <xf numFmtId="4" fontId="0" fillId="5" borderId="0" xfId="0" applyNumberFormat="1" applyFill="1" applyBorder="1" applyAlignment="1">
      <alignment horizontal="center"/>
    </xf>
    <xf numFmtId="3" fontId="0" fillId="5" borderId="0" xfId="0" applyNumberFormat="1" applyFill="1" applyBorder="1" applyAlignment="1">
      <alignment horizontal="center"/>
    </xf>
    <xf numFmtId="3" fontId="0" fillId="5" borderId="8" xfId="0" applyNumberFormat="1" applyFill="1" applyBorder="1" applyAlignment="1">
      <alignment horizontal="center"/>
    </xf>
    <xf numFmtId="164" fontId="0" fillId="0" borderId="0" xfId="0" applyNumberFormat="1" applyFill="1" applyBorder="1" applyAlignment="1">
      <alignment horizontal="center"/>
    </xf>
    <xf numFmtId="3" fontId="0" fillId="0" borderId="0" xfId="0" applyNumberFormat="1" applyFill="1" applyBorder="1" applyAlignment="1">
      <alignment horizontal="center"/>
    </xf>
    <xf numFmtId="4" fontId="0" fillId="0" borderId="0" xfId="0" applyNumberFormat="1" applyFill="1" applyBorder="1" applyAlignment="1">
      <alignment horizontal="center"/>
    </xf>
    <xf numFmtId="4" fontId="0" fillId="4" borderId="7" xfId="0" applyNumberFormat="1" applyFill="1" applyBorder="1" applyAlignment="1">
      <alignment horizontal="center"/>
    </xf>
    <xf numFmtId="0" fontId="5" fillId="4" borderId="20" xfId="0" applyFont="1" applyFill="1" applyBorder="1" applyAlignment="1">
      <alignment horizontal="right"/>
    </xf>
    <xf numFmtId="0" fontId="5" fillId="4" borderId="21" xfId="0" applyFont="1" applyFill="1" applyBorder="1" applyAlignment="1">
      <alignment horizontal="right"/>
    </xf>
    <xf numFmtId="0" fontId="5" fillId="4" borderId="22" xfId="0" applyFont="1" applyFill="1" applyBorder="1" applyAlignment="1">
      <alignment horizontal="right"/>
    </xf>
    <xf numFmtId="4" fontId="0" fillId="6" borderId="2" xfId="0" applyNumberFormat="1" applyFill="1" applyBorder="1" applyAlignment="1">
      <alignment horizontal="center"/>
    </xf>
    <xf numFmtId="3" fontId="0" fillId="6" borderId="2" xfId="0" applyNumberFormat="1" applyFill="1" applyBorder="1" applyAlignment="1">
      <alignment horizontal="center"/>
    </xf>
    <xf numFmtId="4" fontId="0" fillId="6" borderId="0" xfId="0" applyNumberFormat="1" applyFill="1" applyBorder="1" applyAlignment="1">
      <alignment horizontal="center"/>
    </xf>
    <xf numFmtId="0" fontId="5" fillId="6" borderId="21" xfId="0" applyFont="1" applyFill="1" applyBorder="1" applyAlignment="1">
      <alignment horizontal="right"/>
    </xf>
    <xf numFmtId="3" fontId="0" fillId="6" borderId="0" xfId="0" applyNumberFormat="1" applyFill="1" applyBorder="1" applyAlignment="1">
      <alignment horizontal="center"/>
    </xf>
    <xf numFmtId="4" fontId="0" fillId="6" borderId="5" xfId="0" applyNumberFormat="1" applyFill="1" applyBorder="1" applyAlignment="1">
      <alignment horizontal="center"/>
    </xf>
    <xf numFmtId="3" fontId="0" fillId="6" borderId="5" xfId="0" applyNumberFormat="1" applyFill="1" applyBorder="1" applyAlignment="1">
      <alignment horizontal="center"/>
    </xf>
    <xf numFmtId="3" fontId="0" fillId="7" borderId="0" xfId="0" applyNumberFormat="1" applyFill="1" applyBorder="1" applyAlignment="1">
      <alignment horizontal="center"/>
    </xf>
    <xf numFmtId="165" fontId="0" fillId="7" borderId="5" xfId="0" applyNumberFormat="1" applyFill="1" applyBorder="1" applyAlignment="1">
      <alignment horizontal="center"/>
    </xf>
    <xf numFmtId="0" fontId="0" fillId="0" borderId="0" xfId="0" applyFill="1" applyBorder="1"/>
    <xf numFmtId="165" fontId="0" fillId="0" borderId="0" xfId="0" applyNumberFormat="1" applyFill="1" applyBorder="1" applyAlignment="1">
      <alignment horizontal="center"/>
    </xf>
    <xf numFmtId="0" fontId="0" fillId="0" borderId="0" xfId="0" applyAlignment="1"/>
    <xf numFmtId="0" fontId="0" fillId="0" borderId="0" xfId="0" applyFill="1" applyAlignment="1">
      <alignment horizontal="center"/>
    </xf>
    <xf numFmtId="166" fontId="0" fillId="0" borderId="0" xfId="0" applyNumberFormat="1" applyAlignment="1">
      <alignment horizontal="center"/>
    </xf>
    <xf numFmtId="0" fontId="0" fillId="5" borderId="9" xfId="0" applyFill="1" applyBorder="1"/>
    <xf numFmtId="0" fontId="0" fillId="5" borderId="10"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0" xfId="0" applyFill="1" applyBorder="1" applyAlignment="1">
      <alignment horizontal="center"/>
    </xf>
    <xf numFmtId="1" fontId="0" fillId="5" borderId="0" xfId="0" applyNumberFormat="1" applyFill="1" applyBorder="1" applyAlignment="1">
      <alignment horizontal="center"/>
    </xf>
    <xf numFmtId="1" fontId="0" fillId="5" borderId="13" xfId="0" applyNumberFormat="1"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1" fontId="0" fillId="5" borderId="15" xfId="0" applyNumberFormat="1" applyFill="1" applyBorder="1" applyAlignment="1">
      <alignment horizontal="center"/>
    </xf>
    <xf numFmtId="1" fontId="0" fillId="5" borderId="16" xfId="0" applyNumberFormat="1" applyFill="1" applyBorder="1" applyAlignment="1">
      <alignment horizontal="center"/>
    </xf>
    <xf numFmtId="1" fontId="0" fillId="0" borderId="0" xfId="0" applyNumberFormat="1" applyFill="1" applyBorder="1" applyAlignment="1">
      <alignment horizontal="center"/>
    </xf>
    <xf numFmtId="0" fontId="0" fillId="8" borderId="1" xfId="0" applyFill="1" applyBorder="1"/>
    <xf numFmtId="0" fontId="0" fillId="8" borderId="2" xfId="0" applyFill="1" applyBorder="1"/>
    <xf numFmtId="0" fontId="0" fillId="7" borderId="1" xfId="0" applyFill="1" applyBorder="1"/>
    <xf numFmtId="0" fontId="5" fillId="7" borderId="2" xfId="0" applyFont="1" applyFill="1" applyBorder="1" applyAlignment="1">
      <alignment horizontal="center"/>
    </xf>
    <xf numFmtId="0" fontId="0" fillId="7" borderId="3" xfId="0" applyFill="1" applyBorder="1"/>
    <xf numFmtId="0" fontId="0" fillId="8" borderId="7" xfId="0" applyFill="1" applyBorder="1" applyAlignment="1">
      <alignment horizontal="center"/>
    </xf>
    <xf numFmtId="0" fontId="0" fillId="8" borderId="0" xfId="0" applyFill="1" applyBorder="1" applyAlignment="1">
      <alignment horizontal="center"/>
    </xf>
    <xf numFmtId="0" fontId="0" fillId="7" borderId="7" xfId="0" applyFill="1" applyBorder="1" applyAlignment="1">
      <alignment horizontal="center"/>
    </xf>
    <xf numFmtId="0" fontId="0" fillId="7" borderId="0" xfId="0" applyFill="1" applyBorder="1" applyAlignment="1">
      <alignment horizontal="center"/>
    </xf>
    <xf numFmtId="0" fontId="0" fillId="7" borderId="8" xfId="0" applyFill="1" applyBorder="1" applyAlignment="1">
      <alignment horizontal="center"/>
    </xf>
    <xf numFmtId="164" fontId="0" fillId="8" borderId="0" xfId="0" applyNumberFormat="1" applyFill="1" applyBorder="1" applyAlignment="1">
      <alignment horizontal="center"/>
    </xf>
    <xf numFmtId="165" fontId="0" fillId="8" borderId="0" xfId="0" applyNumberFormat="1" applyFill="1" applyBorder="1" applyAlignment="1">
      <alignment horizontal="center"/>
    </xf>
    <xf numFmtId="166" fontId="0" fillId="8" borderId="0" xfId="0" applyNumberFormat="1" applyFill="1" applyBorder="1" applyAlignment="1">
      <alignment horizontal="center"/>
    </xf>
    <xf numFmtId="165" fontId="0" fillId="7" borderId="0" xfId="0" applyNumberFormat="1" applyFill="1" applyBorder="1" applyAlignment="1">
      <alignment horizontal="center"/>
    </xf>
    <xf numFmtId="1" fontId="0" fillId="7" borderId="8" xfId="0" applyNumberFormat="1" applyFill="1" applyBorder="1" applyAlignment="1">
      <alignment horizontal="center"/>
    </xf>
    <xf numFmtId="0" fontId="0" fillId="8" borderId="4" xfId="0" applyFill="1" applyBorder="1" applyAlignment="1">
      <alignment horizontal="center"/>
    </xf>
    <xf numFmtId="165" fontId="0" fillId="8" borderId="5" xfId="0" applyNumberFormat="1" applyFill="1" applyBorder="1" applyAlignment="1">
      <alignment horizontal="center"/>
    </xf>
    <xf numFmtId="0" fontId="0" fillId="8" borderId="5" xfId="0" applyFill="1" applyBorder="1" applyAlignment="1">
      <alignment horizontal="center"/>
    </xf>
    <xf numFmtId="0" fontId="0" fillId="7" borderId="4" xfId="0" applyFill="1" applyBorder="1" applyAlignment="1">
      <alignment horizontal="center"/>
    </xf>
    <xf numFmtId="1" fontId="0" fillId="7" borderId="6" xfId="0" applyNumberFormat="1" applyFill="1" applyBorder="1" applyAlignment="1">
      <alignment horizontal="center"/>
    </xf>
    <xf numFmtId="0" fontId="0" fillId="4" borderId="12" xfId="0" applyFill="1"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165" fontId="0" fillId="0" borderId="0" xfId="0" applyNumberFormat="1" applyAlignment="1">
      <alignment horizontal="center"/>
    </xf>
    <xf numFmtId="165" fontId="0" fillId="4" borderId="0" xfId="0" applyNumberFormat="1" applyFill="1" applyBorder="1" applyAlignment="1">
      <alignment horizontal="center"/>
    </xf>
    <xf numFmtId="1" fontId="0" fillId="4" borderId="0" xfId="0" applyNumberFormat="1" applyFill="1" applyBorder="1" applyAlignment="1">
      <alignment horizontal="center"/>
    </xf>
    <xf numFmtId="0" fontId="0" fillId="4" borderId="14" xfId="0" applyFill="1" applyBorder="1" applyAlignment="1">
      <alignment horizontal="center"/>
    </xf>
    <xf numFmtId="165" fontId="0" fillId="4" borderId="15" xfId="0" applyNumberFormat="1" applyFill="1" applyBorder="1" applyAlignment="1">
      <alignment horizontal="center"/>
    </xf>
    <xf numFmtId="1" fontId="0" fillId="4" borderId="15" xfId="0" applyNumberFormat="1" applyFill="1" applyBorder="1" applyAlignment="1">
      <alignment horizontal="center"/>
    </xf>
    <xf numFmtId="0" fontId="0" fillId="4" borderId="16" xfId="0" applyFill="1" applyBorder="1" applyAlignment="1">
      <alignment horizontal="center"/>
    </xf>
    <xf numFmtId="0" fontId="5" fillId="8" borderId="2" xfId="0" applyFont="1" applyFill="1" applyBorder="1" applyAlignment="1">
      <alignment horizontal="center"/>
    </xf>
    <xf numFmtId="0" fontId="0" fillId="7" borderId="2" xfId="0" applyFill="1" applyBorder="1"/>
    <xf numFmtId="0" fontId="0" fillId="5" borderId="1" xfId="0" applyFill="1" applyBorder="1"/>
    <xf numFmtId="0" fontId="0" fillId="5" borderId="2" xfId="0" applyFill="1" applyBorder="1"/>
    <xf numFmtId="0" fontId="0" fillId="5" borderId="3" xfId="0" applyFill="1" applyBorder="1"/>
    <xf numFmtId="0" fontId="0" fillId="8" borderId="0" xfId="0" applyFill="1" applyBorder="1"/>
    <xf numFmtId="0" fontId="0" fillId="7" borderId="8" xfId="0" applyFill="1" applyBorder="1"/>
    <xf numFmtId="0" fontId="0" fillId="5" borderId="7" xfId="0" applyFill="1" applyBorder="1"/>
    <xf numFmtId="0" fontId="0" fillId="5" borderId="0" xfId="0" applyFill="1" applyBorder="1"/>
    <xf numFmtId="0" fontId="0" fillId="5" borderId="8" xfId="0" applyFill="1" applyBorder="1"/>
    <xf numFmtId="0" fontId="0" fillId="5" borderId="7" xfId="0" applyFill="1" applyBorder="1" applyAlignment="1">
      <alignment horizontal="center"/>
    </xf>
    <xf numFmtId="165" fontId="0" fillId="5" borderId="0" xfId="0" applyNumberFormat="1" applyFill="1" applyBorder="1" applyAlignment="1">
      <alignment horizontal="center"/>
    </xf>
    <xf numFmtId="165" fontId="0" fillId="5" borderId="8" xfId="0" applyNumberFormat="1" applyFill="1" applyBorder="1" applyAlignment="1">
      <alignment horizontal="center"/>
    </xf>
    <xf numFmtId="0" fontId="0" fillId="8" borderId="7" xfId="0" applyFill="1" applyBorder="1"/>
    <xf numFmtId="0" fontId="0" fillId="8" borderId="4" xfId="0" applyFill="1" applyBorder="1"/>
    <xf numFmtId="0" fontId="0" fillId="8" borderId="5" xfId="0" applyFill="1" applyBorder="1"/>
    <xf numFmtId="165" fontId="0" fillId="7" borderId="4" xfId="0" applyNumberFormat="1" applyFill="1" applyBorder="1" applyAlignment="1">
      <alignment horizontal="center"/>
    </xf>
    <xf numFmtId="0" fontId="0" fillId="7" borderId="5" xfId="0" applyFill="1" applyBorder="1"/>
    <xf numFmtId="0" fontId="5" fillId="7" borderId="6" xfId="0" applyFont="1" applyFill="1" applyBorder="1" applyAlignment="1">
      <alignment horizontal="center"/>
    </xf>
    <xf numFmtId="0" fontId="0" fillId="5" borderId="4" xfId="0" applyFill="1" applyBorder="1"/>
    <xf numFmtId="0" fontId="0" fillId="5" borderId="5" xfId="0" applyFill="1" applyBorder="1"/>
    <xf numFmtId="0" fontId="0" fillId="5" borderId="6" xfId="0" applyFill="1" applyBorder="1"/>
    <xf numFmtId="0" fontId="5" fillId="0" borderId="0" xfId="0" applyFont="1" applyFill="1" applyBorder="1" applyAlignment="1">
      <alignment horizontal="center"/>
    </xf>
    <xf numFmtId="0" fontId="0" fillId="4" borderId="7" xfId="0" applyFill="1" applyBorder="1" applyAlignment="1">
      <alignment horizontal="center"/>
    </xf>
    <xf numFmtId="0" fontId="10" fillId="4" borderId="7" xfId="0" applyFont="1" applyFill="1" applyBorder="1" applyAlignment="1">
      <alignment horizontal="center"/>
    </xf>
    <xf numFmtId="165" fontId="10" fillId="4" borderId="0" xfId="0" applyNumberFormat="1" applyFont="1" applyFill="1" applyBorder="1" applyAlignment="1">
      <alignment horizontal="center"/>
    </xf>
    <xf numFmtId="1" fontId="10" fillId="4" borderId="0" xfId="0" applyNumberFormat="1" applyFont="1" applyFill="1" applyBorder="1" applyAlignment="1">
      <alignment horizontal="center"/>
    </xf>
    <xf numFmtId="0" fontId="0" fillId="4" borderId="8" xfId="0" applyFill="1" applyBorder="1" applyAlignment="1">
      <alignment horizontal="center"/>
    </xf>
    <xf numFmtId="1" fontId="10" fillId="4" borderId="7" xfId="0" applyNumberFormat="1" applyFont="1" applyFill="1" applyBorder="1" applyAlignment="1">
      <alignment horizontal="center"/>
    </xf>
    <xf numFmtId="1" fontId="10" fillId="4" borderId="4" xfId="0" applyNumberFormat="1" applyFont="1" applyFill="1" applyBorder="1" applyAlignment="1">
      <alignment horizontal="center"/>
    </xf>
    <xf numFmtId="165" fontId="10" fillId="4" borderId="5" xfId="0" applyNumberFormat="1" applyFont="1" applyFill="1" applyBorder="1" applyAlignment="1">
      <alignment horizontal="center"/>
    </xf>
    <xf numFmtId="1" fontId="10" fillId="4" borderId="5" xfId="0" applyNumberFormat="1" applyFont="1" applyFill="1" applyBorder="1" applyAlignment="1">
      <alignment horizontal="center"/>
    </xf>
    <xf numFmtId="0" fontId="0" fillId="4" borderId="6" xfId="0" applyFill="1" applyBorder="1" applyAlignment="1">
      <alignment horizontal="center"/>
    </xf>
    <xf numFmtId="1" fontId="0" fillId="8" borderId="0" xfId="0" applyNumberFormat="1" applyFill="1" applyBorder="1" applyAlignment="1">
      <alignment horizontal="center"/>
    </xf>
    <xf numFmtId="1" fontId="0" fillId="7" borderId="0" xfId="0" applyNumberFormat="1" applyFill="1" applyBorder="1" applyAlignment="1">
      <alignment horizontal="center"/>
    </xf>
    <xf numFmtId="0" fontId="0" fillId="8" borderId="8" xfId="0" applyFill="1" applyBorder="1"/>
    <xf numFmtId="0" fontId="0" fillId="7" borderId="0" xfId="0" applyFill="1" applyAlignment="1">
      <alignment horizontal="center"/>
    </xf>
    <xf numFmtId="1" fontId="11" fillId="4" borderId="12" xfId="0" applyNumberFormat="1" applyFont="1" applyFill="1" applyBorder="1" applyAlignment="1">
      <alignment horizontal="center"/>
    </xf>
    <xf numFmtId="0" fontId="11" fillId="4" borderId="0" xfId="0" applyFont="1" applyFill="1" applyBorder="1" applyAlignment="1">
      <alignment horizontal="center"/>
    </xf>
    <xf numFmtId="1" fontId="11" fillId="4" borderId="13" xfId="0" applyNumberFormat="1" applyFont="1" applyFill="1" applyBorder="1" applyAlignment="1">
      <alignment horizontal="center"/>
    </xf>
    <xf numFmtId="0" fontId="0" fillId="0" borderId="0" xfId="0" applyFill="1" applyBorder="1" applyAlignment="1"/>
    <xf numFmtId="3" fontId="11" fillId="4" borderId="0" xfId="0" applyNumberFormat="1" applyFont="1" applyFill="1" applyBorder="1" applyAlignment="1">
      <alignment horizontal="center"/>
    </xf>
    <xf numFmtId="0" fontId="11" fillId="4" borderId="12" xfId="0" applyFont="1" applyFill="1" applyBorder="1" applyAlignment="1">
      <alignment horizontal="center"/>
    </xf>
    <xf numFmtId="0" fontId="11" fillId="4" borderId="14" xfId="0" applyFont="1" applyFill="1" applyBorder="1" applyAlignment="1">
      <alignment horizontal="center"/>
    </xf>
    <xf numFmtId="3" fontId="11" fillId="4" borderId="15" xfId="0" applyNumberFormat="1" applyFont="1" applyFill="1" applyBorder="1" applyAlignment="1">
      <alignment horizontal="center"/>
    </xf>
    <xf numFmtId="1" fontId="11" fillId="4" borderId="16" xfId="0" applyNumberFormat="1" applyFont="1" applyFill="1" applyBorder="1" applyAlignment="1">
      <alignment horizontal="center"/>
    </xf>
    <xf numFmtId="0" fontId="0" fillId="0" borderId="0" xfId="0" applyAlignment="1">
      <alignment horizontal="center"/>
    </xf>
    <xf numFmtId="3" fontId="0" fillId="5" borderId="2" xfId="0" applyNumberFormat="1" applyFill="1" applyBorder="1" applyAlignment="1">
      <alignment horizontal="center"/>
    </xf>
    <xf numFmtId="4" fontId="0" fillId="5" borderId="2" xfId="0" applyNumberFormat="1" applyFill="1" applyBorder="1" applyAlignment="1">
      <alignment horizontal="center"/>
    </xf>
    <xf numFmtId="164" fontId="0" fillId="5" borderId="2" xfId="0" applyNumberFormat="1" applyFill="1" applyBorder="1" applyAlignment="1">
      <alignment horizontal="center"/>
    </xf>
    <xf numFmtId="0" fontId="5" fillId="5" borderId="21" xfId="0" applyFont="1" applyFill="1" applyBorder="1" applyAlignment="1">
      <alignment horizontal="right"/>
    </xf>
    <xf numFmtId="4" fontId="0" fillId="5" borderId="7" xfId="0" applyNumberFormat="1" applyFill="1" applyBorder="1" applyAlignment="1">
      <alignment horizontal="center"/>
    </xf>
    <xf numFmtId="0" fontId="0" fillId="5" borderId="0" xfId="0" applyFill="1"/>
    <xf numFmtId="4" fontId="0" fillId="0" borderId="5" xfId="0" applyNumberFormat="1" applyFill="1" applyBorder="1" applyAlignment="1">
      <alignment horizontal="center"/>
    </xf>
    <xf numFmtId="0" fontId="5" fillId="0" borderId="0" xfId="0" applyFont="1" applyAlignment="1">
      <alignment horizontal="center"/>
    </xf>
    <xf numFmtId="0" fontId="5" fillId="0" borderId="5" xfId="0" applyFont="1" applyFill="1" applyBorder="1" applyAlignment="1">
      <alignment horizontal="center"/>
    </xf>
    <xf numFmtId="0" fontId="5" fillId="5" borderId="22" xfId="0" applyFont="1" applyFill="1" applyBorder="1" applyAlignment="1">
      <alignment horizontal="right"/>
    </xf>
    <xf numFmtId="4" fontId="0" fillId="5" borderId="4" xfId="0" applyNumberFormat="1" applyFill="1" applyBorder="1" applyAlignment="1">
      <alignment horizontal="center"/>
    </xf>
    <xf numFmtId="4" fontId="0" fillId="5" borderId="5" xfId="0" applyNumberFormat="1" applyFill="1" applyBorder="1" applyAlignment="1">
      <alignment horizontal="center"/>
    </xf>
    <xf numFmtId="3" fontId="0" fillId="5" borderId="5" xfId="0" applyNumberFormat="1" applyFill="1" applyBorder="1" applyAlignment="1">
      <alignment horizontal="center"/>
    </xf>
    <xf numFmtId="164" fontId="0" fillId="5" borderId="5" xfId="0" applyNumberFormat="1" applyFill="1" applyBorder="1" applyAlignment="1">
      <alignment horizontal="center"/>
    </xf>
    <xf numFmtId="4" fontId="0" fillId="0" borderId="2" xfId="0" applyNumberFormat="1" applyFill="1" applyBorder="1" applyAlignment="1">
      <alignment horizontal="center"/>
    </xf>
    <xf numFmtId="0" fontId="0" fillId="0" borderId="5" xfId="0" applyFill="1" applyBorder="1"/>
    <xf numFmtId="0" fontId="12" fillId="0" borderId="0" xfId="0" applyFont="1" applyAlignment="1">
      <alignment horizontal="center"/>
    </xf>
    <xf numFmtId="0" fontId="12" fillId="4" borderId="20" xfId="0" applyFont="1" applyFill="1" applyBorder="1" applyAlignment="1">
      <alignment horizontal="center"/>
    </xf>
    <xf numFmtId="0" fontId="12" fillId="4" borderId="21" xfId="0" applyFont="1" applyFill="1" applyBorder="1" applyAlignment="1">
      <alignment horizontal="center"/>
    </xf>
    <xf numFmtId="0" fontId="12" fillId="4" borderId="22" xfId="0" applyFont="1" applyFill="1" applyBorder="1" applyAlignment="1">
      <alignment horizontal="center"/>
    </xf>
    <xf numFmtId="0" fontId="12" fillId="0" borderId="0" xfId="0" applyFont="1" applyFill="1" applyBorder="1" applyAlignment="1">
      <alignment horizontal="right"/>
    </xf>
    <xf numFmtId="0" fontId="12" fillId="0" borderId="0" xfId="0" applyFont="1" applyFill="1" applyBorder="1" applyAlignment="1">
      <alignment horizontal="center"/>
    </xf>
    <xf numFmtId="0" fontId="12" fillId="6" borderId="20" xfId="0" applyFont="1" applyFill="1" applyBorder="1" applyAlignment="1">
      <alignment horizontal="center"/>
    </xf>
    <xf numFmtId="0" fontId="12" fillId="6" borderId="21" xfId="0" applyFont="1" applyFill="1" applyBorder="1" applyAlignment="1">
      <alignment horizontal="center"/>
    </xf>
    <xf numFmtId="0" fontId="12" fillId="6" borderId="22" xfId="0" applyFont="1" applyFill="1" applyBorder="1" applyAlignment="1">
      <alignment horizontal="center"/>
    </xf>
    <xf numFmtId="0" fontId="12" fillId="5" borderId="20" xfId="0" applyFont="1" applyFill="1" applyBorder="1" applyAlignment="1">
      <alignment horizontal="center"/>
    </xf>
    <xf numFmtId="0" fontId="12" fillId="5" borderId="21" xfId="0" applyFont="1" applyFill="1" applyBorder="1" applyAlignment="1">
      <alignment horizontal="center"/>
    </xf>
    <xf numFmtId="0" fontId="12" fillId="5" borderId="22" xfId="0" applyFont="1" applyFill="1" applyBorder="1" applyAlignment="1">
      <alignment horizontal="center"/>
    </xf>
    <xf numFmtId="0" fontId="0" fillId="3" borderId="3" xfId="0" applyFill="1" applyBorder="1"/>
    <xf numFmtId="0" fontId="0" fillId="3" borderId="8" xfId="0" applyFill="1" applyBorder="1" applyAlignment="1">
      <alignment horizontal="center" wrapText="1"/>
    </xf>
    <xf numFmtId="0" fontId="0" fillId="3" borderId="6" xfId="0" applyFill="1" applyBorder="1" applyAlignment="1">
      <alignment horizontal="center"/>
    </xf>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11" fillId="10" borderId="0" xfId="0" applyFont="1" applyFill="1" applyBorder="1" applyAlignment="1">
      <alignment horizontal="center"/>
    </xf>
    <xf numFmtId="3" fontId="11" fillId="10" borderId="0" xfId="0" applyNumberFormat="1" applyFont="1" applyFill="1" applyBorder="1" applyAlignment="1">
      <alignment horizontal="center"/>
    </xf>
    <xf numFmtId="1" fontId="11" fillId="10" borderId="0" xfId="0" applyNumberFormat="1" applyFont="1" applyFill="1" applyBorder="1" applyAlignment="1">
      <alignment horizontal="center"/>
    </xf>
    <xf numFmtId="0" fontId="13" fillId="10" borderId="0" xfId="0" applyFont="1" applyFill="1" applyBorder="1" applyAlignment="1">
      <alignment horizontal="center"/>
    </xf>
    <xf numFmtId="3" fontId="13" fillId="10" borderId="0" xfId="0" applyNumberFormat="1" applyFont="1" applyFill="1" applyBorder="1" applyAlignment="1">
      <alignment horizontal="center"/>
    </xf>
    <xf numFmtId="1" fontId="11" fillId="10" borderId="7" xfId="0" applyNumberFormat="1" applyFont="1" applyFill="1" applyBorder="1" applyAlignment="1">
      <alignment horizontal="center"/>
    </xf>
    <xf numFmtId="0" fontId="13" fillId="10" borderId="8" xfId="0" applyFont="1" applyFill="1" applyBorder="1" applyAlignment="1">
      <alignment horizontal="center"/>
    </xf>
    <xf numFmtId="3" fontId="13" fillId="10" borderId="8" xfId="0" applyNumberFormat="1" applyFont="1" applyFill="1" applyBorder="1" applyAlignment="1">
      <alignment horizontal="center"/>
    </xf>
    <xf numFmtId="0" fontId="11" fillId="10" borderId="4" xfId="0" applyFont="1" applyFill="1" applyBorder="1" applyAlignment="1">
      <alignment horizontal="center"/>
    </xf>
    <xf numFmtId="3" fontId="11" fillId="10" borderId="5" xfId="0" applyNumberFormat="1" applyFont="1" applyFill="1" applyBorder="1" applyAlignment="1">
      <alignment horizontal="center"/>
    </xf>
    <xf numFmtId="1" fontId="11" fillId="10" borderId="5" xfId="0" applyNumberFormat="1" applyFont="1" applyFill="1" applyBorder="1" applyAlignment="1">
      <alignment horizontal="center"/>
    </xf>
    <xf numFmtId="3" fontId="13" fillId="10" borderId="5" xfId="0" applyNumberFormat="1" applyFont="1" applyFill="1" applyBorder="1" applyAlignment="1">
      <alignment horizontal="center"/>
    </xf>
    <xf numFmtId="3" fontId="13" fillId="10" borderId="6" xfId="0" applyNumberFormat="1" applyFont="1" applyFill="1" applyBorder="1" applyAlignment="1">
      <alignment horizontal="center"/>
    </xf>
    <xf numFmtId="0" fontId="11" fillId="10" borderId="7" xfId="0" applyFont="1" applyFill="1" applyBorder="1" applyAlignment="1">
      <alignment horizontal="center"/>
    </xf>
    <xf numFmtId="0" fontId="0" fillId="0" borderId="15" xfId="0" applyBorder="1" applyAlignment="1"/>
    <xf numFmtId="0" fontId="5" fillId="8" borderId="2" xfId="0" applyFont="1" applyFill="1" applyBorder="1" applyAlignment="1"/>
    <xf numFmtId="0" fontId="8" fillId="4" borderId="17" xfId="0" applyFont="1" applyFill="1" applyBorder="1" applyAlignment="1"/>
    <xf numFmtId="0" fontId="8" fillId="4" borderId="18" xfId="0" applyFont="1" applyFill="1" applyBorder="1" applyAlignment="1"/>
    <xf numFmtId="0" fontId="8" fillId="4" borderId="19" xfId="0" applyFont="1" applyFill="1" applyBorder="1" applyAlignment="1"/>
    <xf numFmtId="0" fontId="10" fillId="4" borderId="24" xfId="0" applyFont="1" applyFill="1" applyBorder="1" applyAlignment="1"/>
    <xf numFmtId="0" fontId="10" fillId="4" borderId="23" xfId="0" applyFont="1" applyFill="1" applyBorder="1" applyAlignment="1"/>
    <xf numFmtId="0" fontId="10" fillId="4" borderId="25" xfId="0" applyFont="1" applyFill="1" applyBorder="1" applyAlignment="1"/>
    <xf numFmtId="0" fontId="5" fillId="5" borderId="0" xfId="0" applyFont="1" applyFill="1" applyBorder="1" applyAlignment="1"/>
    <xf numFmtId="1" fontId="0" fillId="0" borderId="5" xfId="0" applyNumberFormat="1" applyFill="1" applyBorder="1" applyAlignment="1"/>
    <xf numFmtId="0" fontId="8" fillId="6" borderId="24" xfId="0" applyFont="1" applyFill="1" applyBorder="1" applyAlignment="1"/>
    <xf numFmtId="0" fontId="8" fillId="6" borderId="23" xfId="0" applyFont="1" applyFill="1" applyBorder="1" applyAlignment="1"/>
    <xf numFmtId="0" fontId="8" fillId="6" borderId="25" xfId="0" applyFont="1" applyFill="1" applyBorder="1" applyAlignment="1"/>
    <xf numFmtId="3" fontId="0" fillId="0" borderId="0" xfId="0" applyNumberFormat="1" applyFill="1"/>
    <xf numFmtId="0" fontId="0" fillId="0" borderId="7"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3" fontId="0" fillId="3" borderId="2" xfId="0" applyNumberFormat="1"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16" fontId="0" fillId="3" borderId="0" xfId="0" applyNumberFormat="1" applyFill="1" applyBorder="1" applyAlignment="1">
      <alignment horizontal="center"/>
    </xf>
    <xf numFmtId="3" fontId="0" fillId="3" borderId="0" xfId="0" applyNumberFormat="1" applyFill="1" applyBorder="1" applyAlignment="1">
      <alignment horizontal="center"/>
    </xf>
    <xf numFmtId="0" fontId="0" fillId="3" borderId="8" xfId="0" applyFill="1" applyBorder="1" applyAlignment="1">
      <alignment horizontal="center"/>
    </xf>
    <xf numFmtId="0" fontId="0" fillId="3" borderId="7" xfId="0" applyFill="1" applyBorder="1"/>
    <xf numFmtId="0" fontId="0" fillId="3" borderId="4" xfId="0" applyFill="1" applyBorder="1"/>
    <xf numFmtId="3" fontId="0" fillId="3" borderId="5" xfId="0" applyNumberFormat="1" applyFill="1" applyBorder="1" applyAlignment="1">
      <alignment horizontal="center"/>
    </xf>
    <xf numFmtId="167" fontId="0" fillId="3" borderId="6" xfId="0" applyNumberFormat="1" applyFill="1" applyBorder="1" applyAlignment="1">
      <alignment horizontal="center"/>
    </xf>
    <xf numFmtId="0" fontId="0" fillId="11" borderId="1" xfId="0" applyFill="1" applyBorder="1" applyAlignment="1">
      <alignment horizontal="center"/>
    </xf>
    <xf numFmtId="0" fontId="0" fillId="11" borderId="2" xfId="0" applyFill="1" applyBorder="1" applyAlignment="1">
      <alignment horizontal="center"/>
    </xf>
    <xf numFmtId="164" fontId="0" fillId="11" borderId="2" xfId="0" applyNumberFormat="1" applyFill="1" applyBorder="1" applyAlignment="1">
      <alignment horizontal="center"/>
    </xf>
    <xf numFmtId="4" fontId="0" fillId="11" borderId="3" xfId="0" applyNumberFormat="1" applyFill="1" applyBorder="1" applyAlignment="1">
      <alignment horizontal="center"/>
    </xf>
    <xf numFmtId="0" fontId="0" fillId="11" borderId="7" xfId="0" applyFill="1" applyBorder="1" applyAlignment="1">
      <alignment horizontal="center"/>
    </xf>
    <xf numFmtId="0" fontId="0" fillId="11" borderId="0" xfId="0" applyFill="1" applyBorder="1" applyAlignment="1">
      <alignment horizontal="center"/>
    </xf>
    <xf numFmtId="16" fontId="0" fillId="11" borderId="0" xfId="0" applyNumberFormat="1" applyFill="1" applyBorder="1" applyAlignment="1">
      <alignment horizontal="center"/>
    </xf>
    <xf numFmtId="164" fontId="0" fillId="11" borderId="0" xfId="0" applyNumberFormat="1" applyFill="1" applyBorder="1" applyAlignment="1">
      <alignment horizontal="center"/>
    </xf>
    <xf numFmtId="4" fontId="0" fillId="11" borderId="8" xfId="0" applyNumberFormat="1" applyFill="1" applyBorder="1" applyAlignment="1">
      <alignment horizontal="center"/>
    </xf>
    <xf numFmtId="0" fontId="0" fillId="11" borderId="7" xfId="0" applyFill="1" applyBorder="1"/>
    <xf numFmtId="0" fontId="0" fillId="11" borderId="4" xfId="0" applyFill="1" applyBorder="1"/>
    <xf numFmtId="0" fontId="0" fillId="11" borderId="5" xfId="0" applyFill="1" applyBorder="1" applyAlignment="1">
      <alignment horizontal="center"/>
    </xf>
    <xf numFmtId="164" fontId="0" fillId="11" borderId="5" xfId="0" applyNumberFormat="1" applyFill="1" applyBorder="1" applyAlignment="1">
      <alignment horizontal="center"/>
    </xf>
    <xf numFmtId="4" fontId="0" fillId="11" borderId="6" xfId="0" applyNumberFormat="1" applyFill="1" applyBorder="1" applyAlignment="1">
      <alignment horizontal="center"/>
    </xf>
    <xf numFmtId="0" fontId="0" fillId="5" borderId="1" xfId="0" applyFill="1" applyBorder="1" applyAlignment="1">
      <alignment horizontal="center"/>
    </xf>
    <xf numFmtId="0" fontId="0" fillId="5" borderId="2" xfId="0" applyFill="1" applyBorder="1" applyAlignment="1">
      <alignment horizontal="center"/>
    </xf>
    <xf numFmtId="167" fontId="0" fillId="5" borderId="3" xfId="0" applyNumberFormat="1" applyFill="1" applyBorder="1" applyAlignment="1">
      <alignment horizontal="center"/>
    </xf>
    <xf numFmtId="16" fontId="0" fillId="5" borderId="0" xfId="0" applyNumberFormat="1" applyFill="1" applyBorder="1" applyAlignment="1">
      <alignment horizontal="center"/>
    </xf>
    <xf numFmtId="167" fontId="0" fillId="5" borderId="8" xfId="0" applyNumberFormat="1"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167" fontId="0" fillId="5" borderId="6" xfId="0" applyNumberFormat="1" applyFill="1" applyBorder="1" applyAlignment="1">
      <alignment horizontal="center"/>
    </xf>
    <xf numFmtId="164" fontId="0" fillId="0" borderId="0" xfId="0" applyNumberFormat="1" applyFill="1"/>
    <xf numFmtId="3" fontId="0" fillId="0" borderId="0" xfId="0" applyNumberFormat="1" applyFill="1" applyBorder="1"/>
    <xf numFmtId="164" fontId="0" fillId="0" borderId="0" xfId="0" applyNumberFormat="1" applyFill="1" applyBorder="1"/>
    <xf numFmtId="164" fontId="0" fillId="5" borderId="23" xfId="0" applyNumberFormat="1" applyFill="1" applyBorder="1" applyAlignment="1">
      <alignment horizontal="center"/>
    </xf>
    <xf numFmtId="3" fontId="0" fillId="5" borderId="23" xfId="0" applyNumberFormat="1" applyFill="1" applyBorder="1" applyAlignment="1">
      <alignment horizontal="center"/>
    </xf>
    <xf numFmtId="3" fontId="0" fillId="5" borderId="25" xfId="0" applyNumberFormat="1" applyFill="1" applyBorder="1" applyAlignment="1">
      <alignment horizontal="center"/>
    </xf>
    <xf numFmtId="0" fontId="0" fillId="12" borderId="1" xfId="0" applyFill="1" applyBorder="1"/>
    <xf numFmtId="0" fontId="0" fillId="12" borderId="2" xfId="0" applyFill="1" applyBorder="1" applyAlignment="1">
      <alignment horizontal="center"/>
    </xf>
    <xf numFmtId="3" fontId="0" fillId="12" borderId="3" xfId="0" applyNumberFormat="1" applyFill="1" applyBorder="1"/>
    <xf numFmtId="3" fontId="0" fillId="12" borderId="7" xfId="0" applyNumberFormat="1" applyFill="1" applyBorder="1"/>
    <xf numFmtId="3" fontId="0" fillId="12" borderId="0" xfId="0" applyNumberFormat="1" applyFill="1" applyBorder="1" applyAlignment="1">
      <alignment horizontal="center"/>
    </xf>
    <xf numFmtId="0" fontId="0" fillId="12" borderId="8" xfId="0" applyFill="1" applyBorder="1"/>
    <xf numFmtId="3" fontId="0" fillId="12" borderId="4" xfId="0" applyNumberFormat="1" applyFill="1" applyBorder="1"/>
    <xf numFmtId="3" fontId="0" fillId="12" borderId="5" xfId="0" applyNumberFormat="1" applyFill="1" applyBorder="1" applyAlignment="1">
      <alignment horizontal="center"/>
    </xf>
    <xf numFmtId="0" fontId="0" fillId="12" borderId="6" xfId="0" applyFill="1" applyBorder="1"/>
    <xf numFmtId="0" fontId="0" fillId="0" borderId="0" xfId="0" applyAlignment="1">
      <alignment horizontal="center"/>
    </xf>
    <xf numFmtId="0" fontId="0" fillId="0" borderId="0" xfId="0" applyAlignment="1">
      <alignment horizontal="center"/>
    </xf>
    <xf numFmtId="0" fontId="0" fillId="14" borderId="7" xfId="0" applyFill="1" applyBorder="1" applyAlignment="1">
      <alignment horizontal="center"/>
    </xf>
    <xf numFmtId="0" fontId="0" fillId="14" borderId="0" xfId="0" applyFill="1" applyBorder="1" applyAlignment="1">
      <alignment horizontal="center"/>
    </xf>
    <xf numFmtId="3" fontId="0" fillId="14" borderId="0" xfId="0" applyNumberFormat="1" applyFill="1" applyBorder="1" applyAlignment="1">
      <alignment horizontal="center"/>
    </xf>
    <xf numFmtId="167" fontId="0" fillId="14" borderId="8" xfId="0" applyNumberFormat="1" applyFill="1" applyBorder="1" applyAlignment="1">
      <alignment horizontal="center"/>
    </xf>
    <xf numFmtId="0" fontId="0" fillId="14" borderId="7" xfId="0" applyFill="1" applyBorder="1"/>
    <xf numFmtId="0" fontId="0" fillId="14" borderId="2" xfId="0" applyFill="1" applyBorder="1" applyAlignment="1">
      <alignment horizontal="center"/>
    </xf>
    <xf numFmtId="3" fontId="0" fillId="14" borderId="2" xfId="0" applyNumberFormat="1" applyFill="1" applyBorder="1" applyAlignment="1">
      <alignment horizontal="center"/>
    </xf>
    <xf numFmtId="16" fontId="0" fillId="14" borderId="0" xfId="0" applyNumberFormat="1" applyFill="1" applyBorder="1" applyAlignment="1">
      <alignment horizontal="center"/>
    </xf>
    <xf numFmtId="0" fontId="0" fillId="14" borderId="4" xfId="0" applyFill="1" applyBorder="1"/>
    <xf numFmtId="0" fontId="0" fillId="14" borderId="5" xfId="0" applyFill="1" applyBorder="1" applyAlignment="1">
      <alignment horizontal="center"/>
    </xf>
    <xf numFmtId="3" fontId="0" fillId="14" borderId="5" xfId="0" applyNumberFormat="1" applyFill="1" applyBorder="1" applyAlignment="1">
      <alignment horizontal="center"/>
    </xf>
    <xf numFmtId="0" fontId="0" fillId="14" borderId="1" xfId="0" applyFill="1" applyBorder="1" applyAlignment="1">
      <alignment horizontal="center"/>
    </xf>
    <xf numFmtId="167" fontId="0" fillId="14" borderId="3" xfId="0" applyNumberFormat="1" applyFill="1" applyBorder="1" applyAlignment="1">
      <alignment horizontal="center"/>
    </xf>
    <xf numFmtId="167" fontId="0" fillId="14" borderId="6" xfId="0" applyNumberFormat="1" applyFill="1" applyBorder="1" applyAlignment="1">
      <alignment horizontal="center"/>
    </xf>
    <xf numFmtId="1" fontId="0" fillId="14" borderId="1" xfId="0" applyNumberFormat="1" applyFill="1" applyBorder="1" applyAlignment="1">
      <alignment horizontal="center"/>
    </xf>
    <xf numFmtId="1" fontId="0" fillId="14" borderId="3" xfId="0" applyNumberFormat="1" applyFill="1" applyBorder="1" applyAlignment="1">
      <alignment horizontal="center"/>
    </xf>
    <xf numFmtId="1" fontId="0" fillId="14" borderId="7" xfId="0" applyNumberFormat="1" applyFill="1" applyBorder="1" applyAlignment="1">
      <alignment horizontal="center"/>
    </xf>
    <xf numFmtId="1" fontId="0" fillId="14" borderId="8" xfId="0" applyNumberFormat="1" applyFill="1" applyBorder="1" applyAlignment="1">
      <alignment horizontal="center"/>
    </xf>
    <xf numFmtId="1" fontId="0" fillId="14" borderId="4" xfId="0" applyNumberFormat="1" applyFill="1" applyBorder="1" applyAlignment="1">
      <alignment horizontal="center"/>
    </xf>
    <xf numFmtId="1" fontId="0" fillId="14" borderId="6" xfId="0" applyNumberFormat="1" applyFill="1" applyBorder="1" applyAlignment="1">
      <alignment horizontal="center"/>
    </xf>
    <xf numFmtId="1" fontId="0" fillId="17" borderId="1" xfId="0" applyNumberFormat="1" applyFill="1" applyBorder="1" applyAlignment="1">
      <alignment horizontal="center"/>
    </xf>
    <xf numFmtId="1" fontId="0" fillId="17" borderId="3" xfId="0" applyNumberFormat="1" applyFill="1" applyBorder="1" applyAlignment="1">
      <alignment horizontal="center"/>
    </xf>
    <xf numFmtId="1" fontId="0" fillId="17" borderId="7" xfId="0" applyNumberFormat="1" applyFill="1" applyBorder="1" applyAlignment="1">
      <alignment horizontal="center"/>
    </xf>
    <xf numFmtId="1" fontId="0" fillId="17" borderId="8" xfId="0" applyNumberFormat="1" applyFill="1" applyBorder="1" applyAlignment="1">
      <alignment horizontal="center"/>
    </xf>
    <xf numFmtId="1" fontId="0" fillId="17" borderId="4" xfId="0" applyNumberFormat="1" applyFill="1" applyBorder="1" applyAlignment="1">
      <alignment horizontal="center"/>
    </xf>
    <xf numFmtId="1" fontId="0" fillId="17" borderId="6" xfId="0" applyNumberFormat="1" applyFill="1" applyBorder="1" applyAlignment="1">
      <alignment horizontal="center"/>
    </xf>
    <xf numFmtId="1" fontId="0" fillId="8" borderId="1" xfId="0" applyNumberFormat="1" applyFill="1" applyBorder="1" applyAlignment="1">
      <alignment horizontal="center"/>
    </xf>
    <xf numFmtId="1" fontId="0" fillId="8" borderId="3" xfId="0" applyNumberFormat="1" applyFill="1" applyBorder="1" applyAlignment="1">
      <alignment horizontal="center"/>
    </xf>
    <xf numFmtId="1" fontId="0" fillId="8" borderId="7" xfId="0" applyNumberFormat="1" applyFill="1" applyBorder="1" applyAlignment="1">
      <alignment horizontal="center"/>
    </xf>
    <xf numFmtId="1" fontId="0" fillId="8" borderId="8" xfId="0" applyNumberFormat="1" applyFill="1" applyBorder="1" applyAlignment="1">
      <alignment horizontal="center"/>
    </xf>
    <xf numFmtId="1" fontId="0" fillId="8" borderId="4" xfId="0" applyNumberFormat="1" applyFill="1" applyBorder="1" applyAlignment="1">
      <alignment horizontal="center"/>
    </xf>
    <xf numFmtId="1" fontId="0" fillId="8" borderId="6" xfId="0" applyNumberFormat="1" applyFill="1" applyBorder="1" applyAlignment="1">
      <alignment horizontal="center"/>
    </xf>
    <xf numFmtId="1" fontId="0" fillId="9" borderId="1" xfId="0" applyNumberFormat="1" applyFill="1" applyBorder="1" applyAlignment="1">
      <alignment horizontal="center"/>
    </xf>
    <xf numFmtId="1" fontId="0" fillId="9" borderId="3" xfId="0" applyNumberFormat="1" applyFill="1" applyBorder="1" applyAlignment="1">
      <alignment horizontal="center"/>
    </xf>
    <xf numFmtId="1" fontId="0" fillId="9" borderId="7" xfId="0" applyNumberFormat="1" applyFill="1" applyBorder="1" applyAlignment="1">
      <alignment horizontal="center"/>
    </xf>
    <xf numFmtId="1" fontId="0" fillId="9" borderId="8" xfId="0" applyNumberFormat="1" applyFill="1" applyBorder="1" applyAlignment="1">
      <alignment horizontal="center"/>
    </xf>
    <xf numFmtId="1" fontId="0" fillId="9" borderId="4" xfId="0" applyNumberFormat="1" applyFill="1" applyBorder="1" applyAlignment="1">
      <alignment horizontal="center"/>
    </xf>
    <xf numFmtId="1" fontId="0" fillId="9" borderId="6" xfId="0" applyNumberFormat="1" applyFill="1" applyBorder="1" applyAlignment="1">
      <alignment horizontal="center"/>
    </xf>
    <xf numFmtId="0" fontId="5" fillId="0" borderId="2" xfId="0" applyFont="1" applyFill="1" applyBorder="1" applyAlignment="1">
      <alignment horizontal="right"/>
    </xf>
    <xf numFmtId="0" fontId="0" fillId="13" borderId="4" xfId="0" applyFill="1" applyBorder="1" applyAlignment="1">
      <alignment horizontal="center"/>
    </xf>
    <xf numFmtId="0" fontId="0" fillId="13" borderId="6" xfId="0" applyFill="1" applyBorder="1" applyAlignment="1">
      <alignment horizontal="center"/>
    </xf>
    <xf numFmtId="0" fontId="0" fillId="16" borderId="28" xfId="0" applyFill="1" applyBorder="1" applyAlignment="1">
      <alignment horizontal="right"/>
    </xf>
    <xf numFmtId="0" fontId="0" fillId="10" borderId="32" xfId="0" applyFill="1" applyBorder="1" applyAlignment="1">
      <alignment horizontal="center"/>
    </xf>
    <xf numFmtId="0" fontId="0" fillId="6" borderId="34" xfId="0" applyFill="1" applyBorder="1" applyAlignment="1">
      <alignment horizontal="center"/>
    </xf>
    <xf numFmtId="0" fontId="0" fillId="16" borderId="32" xfId="0" applyFill="1" applyBorder="1" applyAlignment="1">
      <alignment horizontal="right"/>
    </xf>
    <xf numFmtId="0" fontId="0" fillId="0" borderId="0" xfId="0" applyAlignment="1">
      <alignment horizontal="center"/>
    </xf>
    <xf numFmtId="0" fontId="5" fillId="18" borderId="20" xfId="0" applyFont="1" applyFill="1" applyBorder="1" applyAlignment="1">
      <alignment horizontal="right"/>
    </xf>
    <xf numFmtId="0" fontId="5" fillId="18" borderId="21" xfId="0" applyFont="1" applyFill="1" applyBorder="1" applyAlignment="1">
      <alignment horizontal="right"/>
    </xf>
    <xf numFmtId="0" fontId="5" fillId="18" borderId="22" xfId="0" applyFont="1" applyFill="1" applyBorder="1" applyAlignment="1">
      <alignment horizontal="right"/>
    </xf>
    <xf numFmtId="0" fontId="12" fillId="18" borderId="1" xfId="0" applyFont="1" applyFill="1" applyBorder="1" applyAlignment="1">
      <alignment horizontal="center"/>
    </xf>
    <xf numFmtId="0" fontId="12" fillId="18" borderId="7" xfId="0" applyFont="1" applyFill="1" applyBorder="1" applyAlignment="1">
      <alignment horizontal="center"/>
    </xf>
    <xf numFmtId="0" fontId="0" fillId="5" borderId="26" xfId="0" applyFill="1" applyBorder="1"/>
    <xf numFmtId="0" fontId="0" fillId="5" borderId="28" xfId="0" applyFill="1" applyBorder="1"/>
    <xf numFmtId="0" fontId="0" fillId="4" borderId="34" xfId="0" applyFill="1" applyBorder="1"/>
    <xf numFmtId="0" fontId="0" fillId="4" borderId="28" xfId="0" applyFill="1" applyBorder="1" applyAlignment="1">
      <alignment horizontal="right"/>
    </xf>
    <xf numFmtId="0" fontId="0" fillId="5" borderId="32" xfId="0" applyFill="1" applyBorder="1"/>
    <xf numFmtId="0" fontId="0" fillId="9" borderId="34" xfId="0" applyFill="1" applyBorder="1"/>
    <xf numFmtId="0" fontId="0" fillId="9" borderId="28" xfId="0" applyFill="1" applyBorder="1" applyAlignment="1">
      <alignment horizontal="right"/>
    </xf>
    <xf numFmtId="0" fontId="0" fillId="9" borderId="32" xfId="0" applyFill="1" applyBorder="1" applyAlignment="1">
      <alignment horizontal="right"/>
    </xf>
    <xf numFmtId="0" fontId="0" fillId="15" borderId="28" xfId="0" applyFill="1" applyBorder="1"/>
    <xf numFmtId="0" fontId="0" fillId="6" borderId="28" xfId="0" applyFill="1" applyBorder="1" applyAlignment="1">
      <alignment horizontal="center"/>
    </xf>
    <xf numFmtId="1" fontId="0" fillId="0" borderId="0" xfId="0" applyNumberFormat="1" applyAlignment="1">
      <alignment horizontal="center"/>
    </xf>
    <xf numFmtId="0" fontId="0" fillId="0" borderId="0" xfId="0" applyAlignment="1">
      <alignment horizontal="center"/>
    </xf>
    <xf numFmtId="0" fontId="0" fillId="15" borderId="28" xfId="0" applyFill="1" applyBorder="1" applyAlignment="1">
      <alignment horizontal="center"/>
    </xf>
    <xf numFmtId="0" fontId="0" fillId="0" borderId="0" xfId="0" applyAlignment="1">
      <alignment horizontal="right"/>
    </xf>
    <xf numFmtId="3" fontId="0" fillId="0" borderId="0" xfId="0" applyNumberFormat="1"/>
    <xf numFmtId="0" fontId="15" fillId="7" borderId="0" xfId="1" applyFont="1" applyFill="1" applyBorder="1" applyAlignment="1">
      <alignment horizontal="center"/>
    </xf>
    <xf numFmtId="0" fontId="16" fillId="7" borderId="0" xfId="1" applyFont="1" applyFill="1" applyBorder="1" applyAlignment="1">
      <alignment horizontal="center"/>
    </xf>
    <xf numFmtId="166" fontId="0" fillId="7" borderId="0" xfId="0" applyNumberFormat="1" applyFill="1" applyAlignment="1">
      <alignment horizontal="center"/>
    </xf>
    <xf numFmtId="166" fontId="0" fillId="4" borderId="0" xfId="0" applyNumberFormat="1" applyFill="1" applyAlignment="1">
      <alignment horizontal="center"/>
    </xf>
    <xf numFmtId="0" fontId="15" fillId="4" borderId="0" xfId="1" applyFont="1" applyFill="1" applyBorder="1" applyAlignment="1">
      <alignment horizontal="center"/>
    </xf>
    <xf numFmtId="0" fontId="0" fillId="3" borderId="0" xfId="0" applyFill="1"/>
    <xf numFmtId="0" fontId="0" fillId="19" borderId="0" xfId="0" applyFill="1"/>
    <xf numFmtId="165" fontId="0" fillId="10" borderId="24" xfId="0" applyNumberFormat="1" applyFill="1" applyBorder="1" applyAlignment="1">
      <alignment horizontal="center"/>
    </xf>
    <xf numFmtId="165" fontId="0" fillId="10" borderId="23" xfId="0" applyNumberFormat="1" applyFill="1" applyBorder="1" applyAlignment="1">
      <alignment horizontal="center"/>
    </xf>
    <xf numFmtId="165" fontId="0" fillId="10" borderId="25" xfId="0" applyNumberFormat="1" applyFill="1" applyBorder="1" applyAlignment="1">
      <alignment horizontal="center"/>
    </xf>
    <xf numFmtId="164" fontId="0" fillId="15" borderId="23" xfId="0" applyNumberFormat="1" applyFill="1" applyBorder="1" applyAlignment="1">
      <alignment horizontal="center"/>
    </xf>
    <xf numFmtId="3" fontId="0" fillId="15" borderId="23" xfId="0" applyNumberFormat="1" applyFill="1" applyBorder="1" applyAlignment="1">
      <alignment horizontal="center"/>
    </xf>
    <xf numFmtId="3" fontId="0" fillId="15" borderId="25" xfId="0" applyNumberFormat="1" applyFill="1" applyBorder="1" applyAlignment="1">
      <alignment horizontal="center"/>
    </xf>
    <xf numFmtId="0" fontId="0" fillId="5" borderId="20" xfId="0" applyFill="1" applyBorder="1"/>
    <xf numFmtId="0" fontId="0" fillId="15" borderId="22" xfId="0" applyFill="1" applyBorder="1"/>
    <xf numFmtId="4"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15" borderId="28" xfId="0" applyFill="1" applyBorder="1" applyAlignment="1">
      <alignment horizontal="right"/>
    </xf>
    <xf numFmtId="0" fontId="0" fillId="7" borderId="34" xfId="0" applyFill="1" applyBorder="1" applyAlignment="1">
      <alignment horizontal="left"/>
    </xf>
    <xf numFmtId="0" fontId="0" fillId="7" borderId="28" xfId="0" applyFill="1" applyBorder="1" applyAlignment="1">
      <alignment horizontal="right"/>
    </xf>
    <xf numFmtId="0" fontId="0" fillId="7" borderId="30" xfId="0" applyFill="1" applyBorder="1" applyAlignment="1">
      <alignment horizontal="right"/>
    </xf>
    <xf numFmtId="0" fontId="5" fillId="0" borderId="0" xfId="0" applyFont="1" applyFill="1" applyBorder="1" applyAlignment="1"/>
    <xf numFmtId="0" fontId="10" fillId="0" borderId="0" xfId="0" applyFont="1" applyFill="1" applyBorder="1" applyAlignment="1"/>
    <xf numFmtId="0" fontId="12" fillId="20" borderId="0" xfId="0" applyNumberFormat="1" applyFont="1" applyFill="1" applyBorder="1" applyAlignment="1">
      <alignment wrapText="1"/>
    </xf>
    <xf numFmtId="0" fontId="12" fillId="20" borderId="0" xfId="0" applyNumberFormat="1" applyFont="1" applyFill="1" applyBorder="1" applyAlignment="1">
      <alignment horizontal="center" wrapText="1"/>
    </xf>
    <xf numFmtId="0" fontId="0" fillId="0" borderId="0" xfId="0" applyAlignment="1">
      <alignment horizontal="left" vertical="top"/>
    </xf>
    <xf numFmtId="0" fontId="0" fillId="0" borderId="0" xfId="0"/>
    <xf numFmtId="0" fontId="0" fillId="0" borderId="0" xfId="0" applyAlignment="1">
      <alignment vertical="top" wrapText="1"/>
    </xf>
    <xf numFmtId="0" fontId="0" fillId="0" borderId="12" xfId="0" applyBorder="1"/>
    <xf numFmtId="0" fontId="0" fillId="0" borderId="0" xfId="0" applyBorder="1"/>
    <xf numFmtId="0" fontId="0" fillId="9" borderId="1" xfId="0" applyFill="1" applyBorder="1" applyAlignment="1">
      <alignment horizontal="center"/>
    </xf>
    <xf numFmtId="0" fontId="0" fillId="9" borderId="2" xfId="0"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0" fillId="9" borderId="0" xfId="0" applyFill="1" applyBorder="1" applyAlignment="1">
      <alignment horizontal="center"/>
    </xf>
    <xf numFmtId="0" fontId="0" fillId="9" borderId="8" xfId="0"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0" fillId="9" borderId="6" xfId="0" applyFill="1" applyBorder="1" applyAlignment="1">
      <alignment horizontal="center"/>
    </xf>
    <xf numFmtId="0" fontId="0" fillId="19" borderId="9" xfId="2" applyFont="1" applyFill="1" applyBorder="1" applyAlignment="1">
      <alignment horizontal="center" vertical="top" wrapText="1"/>
    </xf>
    <xf numFmtId="0" fontId="0" fillId="0" borderId="12" xfId="2" applyFont="1" applyBorder="1" applyAlignment="1">
      <alignment vertical="top" wrapText="1"/>
    </xf>
    <xf numFmtId="0" fontId="0" fillId="9" borderId="12" xfId="2" applyFont="1" applyFill="1" applyBorder="1" applyAlignment="1">
      <alignment horizontal="center" vertical="top" wrapText="1"/>
    </xf>
    <xf numFmtId="0" fontId="0" fillId="19" borderId="12" xfId="2" applyFont="1" applyFill="1" applyBorder="1" applyAlignment="1">
      <alignment horizontal="center" vertical="top" wrapText="1"/>
    </xf>
    <xf numFmtId="0" fontId="0" fillId="0" borderId="12" xfId="2" applyFont="1" applyFill="1" applyBorder="1" applyAlignment="1">
      <alignment vertical="top" wrapText="1"/>
    </xf>
    <xf numFmtId="0" fontId="0" fillId="0" borderId="14" xfId="2" applyFont="1" applyBorder="1"/>
    <xf numFmtId="0" fontId="0" fillId="0" borderId="0" xfId="0"/>
    <xf numFmtId="0" fontId="0" fillId="0" borderId="0" xfId="0" applyBorder="1" applyAlignment="1"/>
    <xf numFmtId="0" fontId="0" fillId="0" borderId="0" xfId="0" applyAlignment="1">
      <alignment horizontal="center" vertical="center"/>
    </xf>
    <xf numFmtId="0" fontId="18" fillId="0" borderId="10" xfId="0" applyFont="1" applyFill="1" applyBorder="1" applyAlignment="1">
      <alignment horizontal="center"/>
    </xf>
    <xf numFmtId="0" fontId="12" fillId="9" borderId="0" xfId="0" applyFont="1" applyFill="1" applyBorder="1" applyAlignment="1">
      <alignment vertical="top" wrapText="1"/>
    </xf>
    <xf numFmtId="0" fontId="0" fillId="9" borderId="5" xfId="0" applyFill="1" applyBorder="1"/>
    <xf numFmtId="0" fontId="0" fillId="9" borderId="12" xfId="2" applyFont="1" applyFill="1" applyBorder="1" applyAlignment="1">
      <alignment horizontal="center"/>
    </xf>
    <xf numFmtId="0" fontId="0" fillId="9" borderId="0" xfId="0" applyFill="1" applyBorder="1" applyAlignment="1"/>
    <xf numFmtId="0" fontId="0" fillId="0" borderId="0" xfId="0" applyAlignment="1">
      <alignment vertical="top"/>
    </xf>
    <xf numFmtId="0" fontId="12" fillId="9" borderId="0" xfId="0" applyFont="1" applyFill="1" applyBorder="1" applyAlignment="1">
      <alignment horizontal="left" vertical="top" wrapText="1"/>
    </xf>
    <xf numFmtId="20" fontId="12" fillId="9" borderId="0" xfId="0" applyNumberFormat="1" applyFont="1" applyFill="1" applyBorder="1" applyAlignment="1">
      <alignment horizontal="left" vertical="top" wrapText="1"/>
    </xf>
    <xf numFmtId="0" fontId="12" fillId="20" borderId="0" xfId="0" applyNumberFormat="1" applyFont="1" applyFill="1" applyBorder="1" applyAlignment="1">
      <alignment horizontal="center" vertical="center" wrapText="1"/>
    </xf>
    <xf numFmtId="0" fontId="12" fillId="20" borderId="0" xfId="0" applyNumberFormat="1" applyFont="1" applyFill="1" applyBorder="1" applyAlignment="1">
      <alignment vertical="top" wrapText="1"/>
    </xf>
    <xf numFmtId="0" fontId="0" fillId="0" borderId="0" xfId="0" applyBorder="1" applyAlignment="1">
      <alignment vertical="top" wrapText="1"/>
    </xf>
    <xf numFmtId="0" fontId="12" fillId="9" borderId="12" xfId="0" applyFont="1" applyFill="1" applyBorder="1" applyAlignment="1">
      <alignment horizontal="left" vertical="top" wrapText="1"/>
    </xf>
    <xf numFmtId="0" fontId="12" fillId="9" borderId="13" xfId="0" applyFont="1" applyFill="1" applyBorder="1" applyAlignment="1">
      <alignment horizontal="left" vertical="top" wrapText="1"/>
    </xf>
    <xf numFmtId="0" fontId="12" fillId="9" borderId="12" xfId="0" applyFont="1" applyFill="1" applyBorder="1" applyAlignment="1">
      <alignment vertical="center"/>
    </xf>
    <xf numFmtId="0" fontId="0" fillId="9" borderId="13" xfId="0" applyFill="1" applyBorder="1" applyAlignment="1"/>
    <xf numFmtId="0" fontId="12" fillId="9" borderId="13" xfId="0" applyFont="1" applyFill="1" applyBorder="1" applyAlignment="1">
      <alignment vertical="top" wrapText="1"/>
    </xf>
    <xf numFmtId="0" fontId="0" fillId="9" borderId="12" xfId="0" applyFill="1" applyBorder="1"/>
    <xf numFmtId="20" fontId="12" fillId="9" borderId="12" xfId="0" applyNumberFormat="1" applyFont="1" applyFill="1" applyBorder="1" applyAlignment="1">
      <alignment horizontal="left" vertical="top" wrapText="1"/>
    </xf>
    <xf numFmtId="0" fontId="0" fillId="9" borderId="36" xfId="0" applyFill="1" applyBorder="1"/>
    <xf numFmtId="0" fontId="0" fillId="9" borderId="41" xfId="0" applyFill="1" applyBorder="1"/>
    <xf numFmtId="0" fontId="12" fillId="20" borderId="12" xfId="0" applyNumberFormat="1" applyFont="1" applyFill="1" applyBorder="1" applyAlignment="1">
      <alignment wrapText="1"/>
    </xf>
    <xf numFmtId="0" fontId="12" fillId="20" borderId="12" xfId="0" applyNumberFormat="1" applyFont="1" applyFill="1" applyBorder="1" applyAlignment="1">
      <alignment horizontal="center" wrapText="1"/>
    </xf>
    <xf numFmtId="0" fontId="12" fillId="20" borderId="12" xfId="0" applyNumberFormat="1" applyFont="1" applyFill="1" applyBorder="1" applyAlignment="1">
      <alignment horizontal="center" vertical="center" wrapText="1"/>
    </xf>
    <xf numFmtId="0" fontId="12" fillId="20" borderId="13" xfId="0" applyNumberFormat="1" applyFont="1" applyFill="1" applyBorder="1" applyAlignment="1">
      <alignment vertical="top" wrapText="1"/>
    </xf>
    <xf numFmtId="0" fontId="0" fillId="9" borderId="0" xfId="0" applyFill="1" applyBorder="1"/>
    <xf numFmtId="0" fontId="0" fillId="9" borderId="13" xfId="0" applyFill="1" applyBorder="1"/>
    <xf numFmtId="0" fontId="0" fillId="9" borderId="12" xfId="0" applyFill="1" applyBorder="1"/>
    <xf numFmtId="0" fontId="0" fillId="0" borderId="0" xfId="0" applyAlignment="1">
      <alignment horizontal="center"/>
    </xf>
    <xf numFmtId="0" fontId="5" fillId="9" borderId="0" xfId="0" applyFont="1" applyFill="1" applyBorder="1" applyAlignment="1">
      <alignment horizontal="center"/>
    </xf>
    <xf numFmtId="0" fontId="0" fillId="0" borderId="0" xfId="0" applyAlignment="1">
      <alignment horizontal="left"/>
    </xf>
    <xf numFmtId="0" fontId="0" fillId="9" borderId="0" xfId="0" applyFill="1" applyBorder="1" applyAlignment="1">
      <alignment horizontal="left"/>
    </xf>
    <xf numFmtId="0" fontId="0" fillId="9" borderId="5" xfId="0" applyFill="1" applyBorder="1" applyAlignment="1">
      <alignment horizontal="left"/>
    </xf>
    <xf numFmtId="0" fontId="5" fillId="9" borderId="8" xfId="0" applyFont="1" applyFill="1" applyBorder="1" applyAlignment="1">
      <alignment horizontal="center"/>
    </xf>
    <xf numFmtId="0" fontId="0" fillId="9" borderId="6" xfId="0" applyFill="1" applyBorder="1" applyAlignment="1">
      <alignment horizontal="left"/>
    </xf>
    <xf numFmtId="0" fontId="0" fillId="21" borderId="1" xfId="0" applyFill="1" applyBorder="1" applyAlignment="1">
      <alignment horizontal="center"/>
    </xf>
    <xf numFmtId="0" fontId="0" fillId="21" borderId="2" xfId="0" applyFill="1" applyBorder="1" applyAlignment="1">
      <alignment horizontal="center"/>
    </xf>
    <xf numFmtId="0" fontId="0" fillId="21" borderId="3" xfId="0" applyFill="1" applyBorder="1" applyAlignment="1">
      <alignment horizontal="center"/>
    </xf>
    <xf numFmtId="0" fontId="0" fillId="21" borderId="7" xfId="0" applyFill="1" applyBorder="1" applyAlignment="1">
      <alignment horizontal="center"/>
    </xf>
    <xf numFmtId="0" fontId="0" fillId="21" borderId="0" xfId="0" applyFill="1" applyBorder="1" applyAlignment="1">
      <alignment horizontal="center"/>
    </xf>
    <xf numFmtId="0" fontId="0" fillId="21" borderId="8" xfId="0" applyFill="1" applyBorder="1" applyAlignment="1">
      <alignment horizontal="center"/>
    </xf>
    <xf numFmtId="0" fontId="0" fillId="21" borderId="4" xfId="0" applyFill="1" applyBorder="1" applyAlignment="1">
      <alignment horizontal="center"/>
    </xf>
    <xf numFmtId="0" fontId="0" fillId="21" borderId="5" xfId="0" applyFill="1" applyBorder="1" applyAlignment="1">
      <alignment horizontal="center"/>
    </xf>
    <xf numFmtId="0" fontId="0" fillId="21" borderId="6" xfId="0" applyFill="1" applyBorder="1" applyAlignment="1">
      <alignment horizontal="center"/>
    </xf>
    <xf numFmtId="0" fontId="10" fillId="0" borderId="0" xfId="0" applyFont="1"/>
    <xf numFmtId="0" fontId="10" fillId="0" borderId="0" xfId="0" applyFont="1" applyFill="1" applyBorder="1"/>
    <xf numFmtId="0" fontId="0" fillId="7" borderId="7" xfId="0" applyFill="1" applyBorder="1"/>
    <xf numFmtId="3" fontId="0" fillId="7" borderId="7" xfId="0" applyNumberFormat="1" applyFill="1" applyBorder="1" applyAlignment="1">
      <alignment horizontal="center"/>
    </xf>
    <xf numFmtId="3" fontId="0" fillId="7" borderId="8" xfId="0" applyNumberFormat="1" applyFill="1" applyBorder="1" applyAlignment="1">
      <alignment horizontal="center"/>
    </xf>
    <xf numFmtId="168" fontId="0" fillId="7" borderId="8" xfId="0" applyNumberFormat="1" applyFill="1" applyBorder="1" applyAlignment="1">
      <alignment horizontal="center"/>
    </xf>
    <xf numFmtId="3" fontId="0" fillId="7" borderId="4" xfId="0" applyNumberFormat="1" applyFill="1" applyBorder="1" applyAlignment="1">
      <alignment horizontal="center"/>
    </xf>
    <xf numFmtId="2" fontId="0" fillId="7" borderId="6" xfId="0" applyNumberFormat="1" applyFill="1" applyBorder="1" applyAlignment="1">
      <alignment horizontal="center"/>
    </xf>
    <xf numFmtId="0" fontId="0" fillId="10" borderId="24" xfId="0" applyFill="1" applyBorder="1"/>
    <xf numFmtId="3" fontId="0" fillId="10" borderId="25" xfId="0" applyNumberFormat="1" applyFill="1" applyBorder="1"/>
    <xf numFmtId="3" fontId="0" fillId="10" borderId="23" xfId="0" applyNumberFormat="1" applyFill="1" applyBorder="1" applyAlignment="1">
      <alignment horizontal="center"/>
    </xf>
    <xf numFmtId="3" fontId="0" fillId="7" borderId="21" xfId="0" applyNumberFormat="1" applyFill="1" applyBorder="1"/>
    <xf numFmtId="0" fontId="0" fillId="7" borderId="21" xfId="0" applyFill="1" applyBorder="1"/>
    <xf numFmtId="0" fontId="0" fillId="7" borderId="22" xfId="0" applyFill="1" applyBorder="1"/>
    <xf numFmtId="3" fontId="0" fillId="7" borderId="21" xfId="0" applyNumberFormat="1" applyFill="1" applyBorder="1" applyAlignment="1">
      <alignment horizontal="center"/>
    </xf>
    <xf numFmtId="168" fontId="0" fillId="7" borderId="21" xfId="0" applyNumberFormat="1" applyFill="1" applyBorder="1" applyAlignment="1">
      <alignment horizontal="center"/>
    </xf>
    <xf numFmtId="2" fontId="0" fillId="7" borderId="22" xfId="0" applyNumberFormat="1" applyFill="1" applyBorder="1" applyAlignment="1">
      <alignment horizontal="center"/>
    </xf>
    <xf numFmtId="0" fontId="0" fillId="7" borderId="44" xfId="0" applyFill="1" applyBorder="1"/>
    <xf numFmtId="0" fontId="0" fillId="7" borderId="44" xfId="0" applyFill="1" applyBorder="1" applyAlignment="1">
      <alignment horizontal="center"/>
    </xf>
    <xf numFmtId="0" fontId="0" fillId="7" borderId="25" xfId="0" applyFill="1" applyBorder="1"/>
    <xf numFmtId="0" fontId="0" fillId="5" borderId="27" xfId="0" applyFill="1" applyBorder="1" applyAlignment="1" applyProtection="1">
      <alignment horizontal="center"/>
      <protection locked="0"/>
    </xf>
    <xf numFmtId="9" fontId="0" fillId="5" borderId="29" xfId="0" applyNumberFormat="1" applyFill="1" applyBorder="1" applyAlignment="1" applyProtection="1">
      <alignment horizontal="center"/>
      <protection locked="0"/>
    </xf>
    <xf numFmtId="0" fontId="0" fillId="5" borderId="29" xfId="0" applyFill="1" applyBorder="1" applyAlignment="1" applyProtection="1">
      <alignment horizontal="center"/>
      <protection locked="0"/>
    </xf>
    <xf numFmtId="0" fontId="0" fillId="4" borderId="35" xfId="0" applyFill="1" applyBorder="1" applyAlignment="1" applyProtection="1">
      <alignment horizontal="center"/>
      <protection locked="0"/>
    </xf>
    <xf numFmtId="0" fontId="0" fillId="4" borderId="29" xfId="0" applyFill="1" applyBorder="1" applyAlignment="1" applyProtection="1">
      <alignment horizontal="center"/>
      <protection locked="0"/>
    </xf>
    <xf numFmtId="0" fontId="0" fillId="10" borderId="33" xfId="0" applyFill="1" applyBorder="1" applyAlignment="1" applyProtection="1">
      <alignment horizontal="center"/>
      <protection locked="0"/>
    </xf>
    <xf numFmtId="0" fontId="0" fillId="6" borderId="35" xfId="0" applyFill="1" applyBorder="1" applyAlignment="1" applyProtection="1">
      <alignment horizontal="center"/>
      <protection locked="0"/>
    </xf>
    <xf numFmtId="0" fontId="0" fillId="16" borderId="29" xfId="0" applyFill="1" applyBorder="1" applyAlignment="1" applyProtection="1">
      <alignment horizontal="center"/>
      <protection locked="0"/>
    </xf>
    <xf numFmtId="0" fontId="0" fillId="16" borderId="33" xfId="0" applyFill="1" applyBorder="1" applyAlignment="1" applyProtection="1">
      <alignment horizontal="center"/>
      <protection locked="0"/>
    </xf>
    <xf numFmtId="0" fontId="0" fillId="6" borderId="29" xfId="0" applyFill="1" applyBorder="1" applyAlignment="1" applyProtection="1">
      <alignment horizontal="center"/>
      <protection locked="0"/>
    </xf>
    <xf numFmtId="0" fontId="0" fillId="5" borderId="33" xfId="0" applyFill="1" applyBorder="1" applyAlignment="1" applyProtection="1">
      <alignment horizontal="center"/>
      <protection locked="0"/>
    </xf>
    <xf numFmtId="0" fontId="0" fillId="9" borderId="35" xfId="0" applyFill="1" applyBorder="1" applyAlignment="1" applyProtection="1">
      <alignment horizontal="center"/>
      <protection locked="0"/>
    </xf>
    <xf numFmtId="0" fontId="0" fillId="9" borderId="29" xfId="0" applyFill="1" applyBorder="1" applyAlignment="1" applyProtection="1">
      <alignment horizontal="center"/>
      <protection locked="0"/>
    </xf>
    <xf numFmtId="0" fontId="0" fillId="9" borderId="33" xfId="0" applyFill="1" applyBorder="1" applyAlignment="1" applyProtection="1">
      <alignment horizontal="center"/>
      <protection locked="0"/>
    </xf>
    <xf numFmtId="0" fontId="0" fillId="15" borderId="29" xfId="0" applyFill="1" applyBorder="1" applyAlignment="1" applyProtection="1">
      <alignment horizontal="center"/>
      <protection locked="0"/>
    </xf>
    <xf numFmtId="0" fontId="0" fillId="15" borderId="13" xfId="0" applyFill="1" applyBorder="1" applyAlignment="1" applyProtection="1">
      <alignment horizontal="center"/>
      <protection locked="0"/>
    </xf>
    <xf numFmtId="0" fontId="0" fillId="7" borderId="35" xfId="0" applyFill="1" applyBorder="1" applyAlignment="1" applyProtection="1">
      <alignment horizontal="center"/>
      <protection locked="0"/>
    </xf>
    <xf numFmtId="0" fontId="0" fillId="7" borderId="29" xfId="0" applyFill="1" applyBorder="1" applyAlignment="1" applyProtection="1">
      <alignment horizontal="center"/>
      <protection locked="0"/>
    </xf>
    <xf numFmtId="0" fontId="0" fillId="7" borderId="31" xfId="0" applyFill="1" applyBorder="1" applyAlignment="1" applyProtection="1">
      <alignment horizontal="center"/>
      <protection locked="0"/>
    </xf>
    <xf numFmtId="0" fontId="0" fillId="0" borderId="0" xfId="0" applyProtection="1"/>
    <xf numFmtId="0" fontId="0" fillId="6" borderId="1" xfId="0" applyFill="1" applyBorder="1" applyAlignment="1" applyProtection="1">
      <alignment horizontal="center"/>
    </xf>
    <xf numFmtId="0" fontId="0" fillId="10" borderId="1" xfId="0" applyFill="1" applyBorder="1" applyProtection="1"/>
    <xf numFmtId="168" fontId="12" fillId="10" borderId="2" xfId="0" applyNumberFormat="1" applyFont="1" applyFill="1" applyBorder="1" applyAlignment="1" applyProtection="1">
      <alignment horizontal="center"/>
    </xf>
    <xf numFmtId="0" fontId="0" fillId="10" borderId="7" xfId="0" applyFill="1" applyBorder="1" applyProtection="1"/>
    <xf numFmtId="2" fontId="12" fillId="10" borderId="0" xfId="0" applyNumberFormat="1" applyFont="1" applyFill="1" applyBorder="1" applyAlignment="1" applyProtection="1">
      <alignment horizontal="center"/>
    </xf>
    <xf numFmtId="2" fontId="12" fillId="10" borderId="8" xfId="0" applyNumberFormat="1" applyFont="1" applyFill="1" applyBorder="1" applyAlignment="1" applyProtection="1">
      <alignment horizontal="center"/>
    </xf>
    <xf numFmtId="0" fontId="12" fillId="10" borderId="0" xfId="0" applyFont="1" applyFill="1" applyBorder="1" applyAlignment="1" applyProtection="1">
      <alignment horizontal="center"/>
    </xf>
    <xf numFmtId="0" fontId="12" fillId="10" borderId="8" xfId="0" applyFont="1" applyFill="1" applyBorder="1" applyAlignment="1" applyProtection="1">
      <alignment horizontal="center"/>
    </xf>
    <xf numFmtId="0" fontId="10" fillId="10" borderId="4" xfId="0" applyFont="1" applyFill="1" applyBorder="1" applyProtection="1"/>
    <xf numFmtId="2" fontId="12" fillId="10" borderId="5" xfId="0" applyNumberFormat="1" applyFont="1" applyFill="1" applyBorder="1" applyAlignment="1" applyProtection="1">
      <alignment horizontal="center"/>
    </xf>
    <xf numFmtId="2" fontId="12" fillId="10" borderId="6" xfId="0" applyNumberFormat="1" applyFont="1" applyFill="1" applyBorder="1" applyAlignment="1" applyProtection="1">
      <alignment horizontal="center"/>
    </xf>
    <xf numFmtId="0" fontId="0" fillId="4" borderId="12" xfId="0" applyFill="1" applyBorder="1" applyAlignment="1">
      <alignment horizontal="right"/>
    </xf>
    <xf numFmtId="0" fontId="0" fillId="10" borderId="26" xfId="0" applyFill="1" applyBorder="1"/>
    <xf numFmtId="0" fontId="0" fillId="10" borderId="27" xfId="0" applyFill="1" applyBorder="1" applyAlignment="1" applyProtection="1">
      <alignment horizontal="center"/>
      <protection locked="0"/>
    </xf>
    <xf numFmtId="0" fontId="0" fillId="0" borderId="0" xfId="0" applyAlignment="1">
      <alignment horizontal="center"/>
    </xf>
    <xf numFmtId="0" fontId="0" fillId="0" borderId="0" xfId="0" applyBorder="1" applyAlignment="1">
      <alignment horizontal="center"/>
    </xf>
    <xf numFmtId="0" fontId="0" fillId="0" borderId="5" xfId="0" applyBorder="1" applyAlignment="1">
      <alignment horizontal="center"/>
    </xf>
    <xf numFmtId="4" fontId="0" fillId="22" borderId="1" xfId="0" applyNumberFormat="1" applyFill="1" applyBorder="1" applyAlignment="1" applyProtection="1">
      <alignment horizontal="center"/>
      <protection locked="0"/>
    </xf>
    <xf numFmtId="4" fontId="0" fillId="22" borderId="2" xfId="0" applyNumberFormat="1" applyFill="1" applyBorder="1" applyAlignment="1" applyProtection="1">
      <alignment horizontal="center"/>
      <protection locked="0"/>
    </xf>
    <xf numFmtId="3" fontId="0" fillId="22" borderId="2" xfId="0" applyNumberFormat="1" applyFill="1" applyBorder="1" applyAlignment="1" applyProtection="1">
      <alignment horizontal="center"/>
      <protection locked="0"/>
    </xf>
    <xf numFmtId="3" fontId="0" fillId="22" borderId="3" xfId="0" applyNumberFormat="1" applyFill="1" applyBorder="1" applyAlignment="1" applyProtection="1">
      <alignment horizontal="center"/>
      <protection locked="0"/>
    </xf>
    <xf numFmtId="4" fontId="0" fillId="22" borderId="7" xfId="0" applyNumberFormat="1" applyFill="1" applyBorder="1" applyAlignment="1" applyProtection="1">
      <alignment horizontal="center"/>
      <protection locked="0"/>
    </xf>
    <xf numFmtId="3" fontId="0" fillId="22" borderId="0" xfId="0" applyNumberFormat="1" applyFill="1" applyBorder="1" applyAlignment="1" applyProtection="1">
      <alignment horizontal="center"/>
      <protection locked="0"/>
    </xf>
    <xf numFmtId="4" fontId="0" fillId="22" borderId="0" xfId="0" applyNumberFormat="1" applyFill="1" applyBorder="1" applyAlignment="1" applyProtection="1">
      <alignment horizontal="center"/>
      <protection locked="0"/>
    </xf>
    <xf numFmtId="164" fontId="0" fillId="22" borderId="0"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164" fontId="0" fillId="22" borderId="5" xfId="0" applyNumberFormat="1" applyFill="1" applyBorder="1" applyAlignment="1" applyProtection="1">
      <alignment horizontal="center"/>
      <protection locked="0"/>
    </xf>
    <xf numFmtId="3" fontId="0" fillId="22" borderId="5" xfId="0" applyNumberFormat="1" applyFill="1" applyBorder="1" applyAlignment="1" applyProtection="1">
      <alignment horizontal="center"/>
      <protection locked="0"/>
    </xf>
    <xf numFmtId="4" fontId="0" fillId="22" borderId="5" xfId="0" applyNumberFormat="1" applyFill="1" applyBorder="1" applyAlignment="1" applyProtection="1">
      <alignment horizontal="center"/>
      <protection locked="0"/>
    </xf>
    <xf numFmtId="3" fontId="0" fillId="22" borderId="6" xfId="0" applyNumberFormat="1" applyFill="1" applyBorder="1" applyAlignment="1" applyProtection="1">
      <alignment horizontal="center"/>
      <protection locked="0"/>
    </xf>
    <xf numFmtId="164" fontId="0" fillId="4" borderId="7" xfId="0" applyNumberFormat="1" applyFill="1" applyBorder="1" applyAlignment="1">
      <alignment horizontal="center"/>
    </xf>
    <xf numFmtId="3" fontId="0" fillId="4" borderId="6" xfId="0" applyNumberFormat="1" applyFill="1" applyBorder="1" applyAlignment="1">
      <alignment horizontal="center"/>
    </xf>
    <xf numFmtId="0" fontId="12" fillId="18" borderId="8" xfId="0" applyFont="1" applyFill="1" applyBorder="1" applyAlignment="1">
      <alignment horizontal="center"/>
    </xf>
    <xf numFmtId="0" fontId="12" fillId="18" borderId="6" xfId="0" applyFont="1" applyFill="1" applyBorder="1" applyAlignment="1">
      <alignment horizontal="center"/>
    </xf>
    <xf numFmtId="0" fontId="0" fillId="4" borderId="0" xfId="0" applyFill="1" applyAlignment="1">
      <alignment horizontal="right"/>
    </xf>
    <xf numFmtId="0" fontId="0" fillId="3" borderId="0" xfId="0" applyFill="1" applyBorder="1"/>
    <xf numFmtId="0" fontId="0" fillId="3" borderId="8" xfId="0" applyFill="1" applyBorder="1"/>
    <xf numFmtId="0" fontId="0" fillId="3" borderId="5" xfId="0" applyFill="1" applyBorder="1"/>
    <xf numFmtId="0" fontId="0" fillId="3" borderId="6" xfId="0" applyFill="1" applyBorder="1"/>
    <xf numFmtId="0" fontId="0" fillId="3" borderId="7" xfId="0" applyFill="1" applyBorder="1" applyAlignment="1"/>
    <xf numFmtId="0" fontId="0" fillId="3" borderId="0" xfId="0" applyFill="1" applyBorder="1" applyAlignment="1"/>
    <xf numFmtId="0" fontId="12" fillId="3" borderId="7" xfId="0" applyFont="1" applyFill="1" applyBorder="1" applyAlignment="1"/>
    <xf numFmtId="0" fontId="12" fillId="3" borderId="7" xfId="0" applyFont="1" applyFill="1" applyBorder="1"/>
    <xf numFmtId="0" fontId="12" fillId="3" borderId="0" xfId="0" applyFont="1" applyFill="1" applyBorder="1"/>
    <xf numFmtId="0" fontId="12" fillId="3" borderId="4" xfId="0" applyFont="1" applyFill="1" applyBorder="1"/>
    <xf numFmtId="0" fontId="12" fillId="3" borderId="5" xfId="0" applyFont="1" applyFill="1" applyBorder="1"/>
    <xf numFmtId="0" fontId="28" fillId="3" borderId="0" xfId="0" applyFont="1" applyFill="1" applyBorder="1" applyAlignment="1"/>
    <xf numFmtId="0" fontId="28" fillId="3" borderId="8" xfId="0" applyFont="1" applyFill="1" applyBorder="1" applyAlignment="1"/>
    <xf numFmtId="0" fontId="12" fillId="3" borderId="0" xfId="0" applyFont="1" applyFill="1" applyBorder="1" applyAlignment="1"/>
    <xf numFmtId="0" fontId="5" fillId="3" borderId="0" xfId="0" applyFont="1" applyFill="1" applyBorder="1"/>
    <xf numFmtId="0" fontId="5" fillId="3" borderId="0" xfId="0" applyFont="1" applyFill="1" applyBorder="1" applyAlignment="1"/>
    <xf numFmtId="0" fontId="12" fillId="3" borderId="0" xfId="0" applyFont="1" applyFill="1"/>
    <xf numFmtId="0" fontId="12" fillId="3" borderId="8" xfId="0" applyFont="1" applyFill="1" applyBorder="1" applyAlignment="1"/>
    <xf numFmtId="0" fontId="5" fillId="3" borderId="7" xfId="0" applyFont="1" applyFill="1" applyBorder="1" applyAlignment="1"/>
    <xf numFmtId="0" fontId="0" fillId="0" borderId="0" xfId="0" applyFill="1" applyBorder="1" applyAlignment="1" applyProtection="1">
      <alignment horizontal="center"/>
    </xf>
    <xf numFmtId="168" fontId="12" fillId="0" borderId="0" xfId="0" applyNumberFormat="1" applyFont="1" applyFill="1" applyBorder="1" applyAlignment="1" applyProtection="1">
      <alignment horizontal="center"/>
    </xf>
    <xf numFmtId="2"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0" fillId="6" borderId="25" xfId="0" applyFill="1" applyBorder="1" applyAlignment="1" applyProtection="1">
      <alignment horizontal="center"/>
    </xf>
    <xf numFmtId="168" fontId="12" fillId="10" borderId="8" xfId="0" applyNumberFormat="1" applyFont="1" applyFill="1" applyBorder="1" applyAlignment="1" applyProtection="1">
      <alignment horizontal="center"/>
    </xf>
    <xf numFmtId="164" fontId="0" fillId="9" borderId="5" xfId="0" applyNumberFormat="1" applyFill="1" applyBorder="1" applyAlignment="1">
      <alignment horizontal="center"/>
    </xf>
    <xf numFmtId="3" fontId="0" fillId="9" borderId="5" xfId="0" applyNumberFormat="1" applyFill="1" applyBorder="1" applyAlignment="1">
      <alignment horizontal="center"/>
    </xf>
    <xf numFmtId="0" fontId="29" fillId="3" borderId="23" xfId="0" applyFont="1" applyFill="1" applyBorder="1" applyAlignment="1">
      <alignment horizontal="center"/>
    </xf>
    <xf numFmtId="0" fontId="29" fillId="3" borderId="25" xfId="0" applyFont="1" applyFill="1" applyBorder="1" applyAlignment="1">
      <alignment horizontal="center"/>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xf numFmtId="0" fontId="0" fillId="8" borderId="7" xfId="0" applyFill="1" applyBorder="1" applyAlignment="1">
      <alignment vertical="top" wrapText="1"/>
    </xf>
    <xf numFmtId="0" fontId="0" fillId="8" borderId="0" xfId="0" applyFill="1" applyBorder="1" applyAlignment="1">
      <alignment vertical="top" wrapText="1"/>
    </xf>
    <xf numFmtId="0" fontId="0" fillId="8" borderId="7" xfId="0" applyFill="1" applyBorder="1" applyAlignment="1">
      <alignment vertical="top"/>
    </xf>
    <xf numFmtId="0" fontId="0" fillId="8" borderId="6" xfId="0" applyFill="1" applyBorder="1"/>
    <xf numFmtId="0" fontId="12" fillId="9" borderId="12" xfId="0" applyFont="1" applyFill="1" applyBorder="1" applyAlignment="1">
      <alignment horizontal="left" vertical="top" wrapText="1"/>
    </xf>
    <xf numFmtId="0" fontId="12" fillId="9" borderId="0" xfId="0" applyFont="1" applyFill="1" applyBorder="1" applyAlignment="1">
      <alignment horizontal="left" vertical="top" wrapText="1"/>
    </xf>
    <xf numFmtId="0" fontId="12" fillId="9" borderId="13" xfId="0" applyFont="1" applyFill="1" applyBorder="1" applyAlignment="1">
      <alignment horizontal="left" vertical="top" wrapText="1"/>
    </xf>
    <xf numFmtId="0" fontId="0" fillId="8" borderId="8" xfId="0" applyFill="1" applyBorder="1" applyAlignment="1">
      <alignment horizontal="center"/>
    </xf>
    <xf numFmtId="0" fontId="0" fillId="10" borderId="2" xfId="0"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10" borderId="0" xfId="0" applyFill="1" applyBorder="1" applyAlignment="1">
      <alignment horizontal="center"/>
    </xf>
    <xf numFmtId="9" fontId="0" fillId="10" borderId="0" xfId="0" applyNumberFormat="1" applyFill="1" applyBorder="1" applyAlignment="1">
      <alignment horizontal="center"/>
    </xf>
    <xf numFmtId="0" fontId="0" fillId="10" borderId="5" xfId="0" applyFill="1" applyBorder="1" applyAlignment="1">
      <alignment horizontal="center"/>
    </xf>
    <xf numFmtId="9" fontId="0" fillId="10" borderId="5" xfId="0" applyNumberFormat="1" applyFill="1" applyBorder="1" applyAlignment="1">
      <alignment horizontal="center"/>
    </xf>
    <xf numFmtId="0" fontId="0" fillId="4" borderId="5" xfId="0" applyFill="1" applyBorder="1" applyAlignment="1">
      <alignment horizontal="center"/>
    </xf>
    <xf numFmtId="0" fontId="0" fillId="7" borderId="5" xfId="0" applyFill="1" applyBorder="1" applyAlignment="1">
      <alignment horizontal="center"/>
    </xf>
    <xf numFmtId="2" fontId="0" fillId="8" borderId="5" xfId="0" applyNumberFormat="1" applyFill="1" applyBorder="1" applyAlignment="1">
      <alignment horizontal="center"/>
    </xf>
    <xf numFmtId="168" fontId="0" fillId="8" borderId="6" xfId="0" applyNumberFormat="1" applyFill="1" applyBorder="1" applyAlignment="1">
      <alignment horizontal="center"/>
    </xf>
    <xf numFmtId="0" fontId="0" fillId="8" borderId="6" xfId="0" applyFill="1" applyBorder="1" applyAlignment="1">
      <alignment horizontal="center"/>
    </xf>
    <xf numFmtId="0" fontId="0" fillId="15" borderId="24" xfId="0" applyFill="1" applyBorder="1" applyAlignment="1">
      <alignment horizontal="center"/>
    </xf>
    <xf numFmtId="0" fontId="0" fillId="4" borderId="2" xfId="0" applyFill="1" applyBorder="1" applyAlignment="1">
      <alignment horizontal="center"/>
    </xf>
    <xf numFmtId="0" fontId="0" fillId="7" borderId="2" xfId="0" applyFill="1" applyBorder="1" applyAlignment="1">
      <alignment horizontal="center"/>
    </xf>
    <xf numFmtId="0" fontId="0" fillId="4" borderId="5" xfId="0" applyFill="1" applyBorder="1"/>
    <xf numFmtId="0" fontId="0" fillId="9" borderId="1" xfId="0" applyFill="1" applyBorder="1"/>
    <xf numFmtId="0" fontId="0" fillId="10" borderId="2" xfId="0" applyFill="1" applyBorder="1"/>
    <xf numFmtId="0" fontId="0" fillId="4" borderId="2" xfId="0" applyFill="1" applyBorder="1"/>
    <xf numFmtId="0" fontId="12" fillId="20" borderId="12" xfId="2" applyNumberFormat="1" applyFont="1" applyFill="1" applyBorder="1" applyAlignment="1">
      <alignment horizontal="left" vertical="top" wrapText="1"/>
    </xf>
    <xf numFmtId="0" fontId="12" fillId="20" borderId="0" xfId="2" applyNumberFormat="1" applyFont="1" applyFill="1" applyBorder="1" applyAlignment="1">
      <alignment horizontal="left" vertical="top" wrapText="1"/>
    </xf>
    <xf numFmtId="0" fontId="12" fillId="20" borderId="13" xfId="2" applyNumberFormat="1" applyFont="1" applyFill="1" applyBorder="1" applyAlignment="1">
      <alignment horizontal="left" vertical="top" wrapText="1"/>
    </xf>
    <xf numFmtId="0" fontId="12" fillId="20" borderId="14" xfId="2" applyNumberFormat="1" applyFont="1" applyFill="1" applyBorder="1" applyAlignment="1">
      <alignment horizontal="left" vertical="top" wrapText="1"/>
    </xf>
    <xf numFmtId="0" fontId="12" fillId="20" borderId="15" xfId="2" applyNumberFormat="1" applyFont="1" applyFill="1" applyBorder="1" applyAlignment="1">
      <alignment horizontal="left" vertical="top" wrapText="1"/>
    </xf>
    <xf numFmtId="0" fontId="12" fillId="20" borderId="16" xfId="2" applyNumberFormat="1" applyFont="1" applyFill="1" applyBorder="1" applyAlignment="1">
      <alignment horizontal="left" vertical="top" wrapText="1"/>
    </xf>
    <xf numFmtId="0" fontId="12" fillId="20" borderId="12" xfId="0" applyNumberFormat="1" applyFont="1" applyFill="1" applyBorder="1" applyAlignment="1">
      <alignment horizontal="center" wrapText="1"/>
    </xf>
    <xf numFmtId="0" fontId="12" fillId="20" borderId="0" xfId="0" applyNumberFormat="1" applyFont="1" applyFill="1" applyBorder="1" applyAlignment="1">
      <alignment horizontal="center" wrapText="1"/>
    </xf>
    <xf numFmtId="0" fontId="12" fillId="20" borderId="0" xfId="0" applyNumberFormat="1" applyFont="1" applyFill="1" applyBorder="1" applyAlignment="1">
      <alignment horizontal="left" vertical="top" wrapText="1"/>
    </xf>
    <xf numFmtId="0" fontId="12" fillId="20" borderId="13" xfId="0" applyNumberFormat="1" applyFont="1" applyFill="1" applyBorder="1" applyAlignment="1">
      <alignment horizontal="left" vertical="top" wrapText="1"/>
    </xf>
    <xf numFmtId="0" fontId="12" fillId="20" borderId="12" xfId="2" applyNumberFormat="1" applyFont="1" applyFill="1" applyBorder="1" applyAlignment="1">
      <alignment horizontal="center" wrapText="1"/>
    </xf>
    <xf numFmtId="0" fontId="12" fillId="20" borderId="0" xfId="2" applyNumberFormat="1" applyFont="1" applyFill="1" applyBorder="1" applyAlignment="1">
      <alignment horizontal="center" wrapText="1"/>
    </xf>
    <xf numFmtId="0" fontId="12" fillId="20" borderId="13" xfId="2" applyNumberFormat="1" applyFont="1" applyFill="1" applyBorder="1" applyAlignment="1">
      <alignment horizontal="center" wrapText="1"/>
    </xf>
    <xf numFmtId="0" fontId="12" fillId="20" borderId="12" xfId="0" applyNumberFormat="1" applyFont="1" applyFill="1" applyBorder="1" applyAlignment="1">
      <alignment horizontal="center" vertical="center" wrapText="1"/>
    </xf>
    <xf numFmtId="0" fontId="12" fillId="20" borderId="0" xfId="0" applyNumberFormat="1" applyFont="1" applyFill="1" applyBorder="1" applyAlignment="1">
      <alignment horizontal="center" vertical="center" wrapText="1"/>
    </xf>
    <xf numFmtId="20" fontId="12" fillId="9" borderId="0" xfId="0" applyNumberFormat="1" applyFont="1" applyFill="1" applyBorder="1" applyAlignment="1">
      <alignment horizontal="left" vertical="top" wrapText="1"/>
    </xf>
    <xf numFmtId="20" fontId="12" fillId="9" borderId="13" xfId="0" applyNumberFormat="1" applyFont="1" applyFill="1" applyBorder="1" applyAlignment="1">
      <alignment horizontal="left" vertical="top" wrapText="1"/>
    </xf>
    <xf numFmtId="0" fontId="18" fillId="2" borderId="37" xfId="0" applyFont="1" applyFill="1" applyBorder="1" applyAlignment="1">
      <alignment horizontal="center"/>
    </xf>
    <xf numFmtId="0" fontId="18" fillId="2" borderId="38" xfId="0" applyFont="1" applyFill="1" applyBorder="1" applyAlignment="1">
      <alignment horizontal="center"/>
    </xf>
    <xf numFmtId="0" fontId="18" fillId="2" borderId="39" xfId="0" applyFont="1" applyFill="1" applyBorder="1" applyAlignment="1">
      <alignment horizontal="center"/>
    </xf>
    <xf numFmtId="0" fontId="12" fillId="20" borderId="42" xfId="0" applyFont="1" applyFill="1" applyBorder="1" applyAlignment="1">
      <alignment horizontal="left" vertical="top" wrapText="1"/>
    </xf>
    <xf numFmtId="0" fontId="12" fillId="20" borderId="2" xfId="0" applyFont="1" applyFill="1" applyBorder="1" applyAlignment="1">
      <alignment horizontal="left" vertical="top" wrapText="1"/>
    </xf>
    <xf numFmtId="0" fontId="12" fillId="20" borderId="43" xfId="0" applyFont="1" applyFill="1" applyBorder="1" applyAlignment="1">
      <alignment horizontal="left" vertical="top" wrapText="1"/>
    </xf>
    <xf numFmtId="0" fontId="12" fillId="20" borderId="12" xfId="0" applyFont="1" applyFill="1" applyBorder="1" applyAlignment="1">
      <alignment horizontal="left" vertical="top" wrapText="1"/>
    </xf>
    <xf numFmtId="0" fontId="12" fillId="20" borderId="0" xfId="0" applyFont="1" applyFill="1" applyBorder="1" applyAlignment="1">
      <alignment horizontal="left" vertical="top" wrapText="1"/>
    </xf>
    <xf numFmtId="0" fontId="12" fillId="20" borderId="13" xfId="0" applyFont="1" applyFill="1" applyBorder="1" applyAlignment="1">
      <alignment horizontal="left" vertical="top" wrapText="1"/>
    </xf>
    <xf numFmtId="0" fontId="12" fillId="20" borderId="12" xfId="0" applyFont="1" applyFill="1" applyBorder="1" applyAlignment="1">
      <alignment horizontal="center" vertical="top"/>
    </xf>
    <xf numFmtId="0" fontId="12" fillId="20" borderId="0" xfId="0" applyFont="1" applyFill="1" applyBorder="1" applyAlignment="1">
      <alignment horizontal="center" vertical="top"/>
    </xf>
    <xf numFmtId="0" fontId="5" fillId="9" borderId="9" xfId="0" applyFont="1" applyFill="1" applyBorder="1" applyAlignment="1">
      <alignment horizontal="center"/>
    </xf>
    <xf numFmtId="0" fontId="5" fillId="9" borderId="10" xfId="0" applyFont="1" applyFill="1" applyBorder="1" applyAlignment="1">
      <alignment horizontal="center"/>
    </xf>
    <xf numFmtId="0" fontId="5" fillId="9" borderId="11" xfId="0" applyFont="1" applyFill="1" applyBorder="1" applyAlignment="1">
      <alignment horizontal="center"/>
    </xf>
    <xf numFmtId="0" fontId="12" fillId="9" borderId="12" xfId="0" applyFont="1" applyFill="1" applyBorder="1" applyAlignment="1">
      <alignment horizontal="left" vertical="top" wrapText="1"/>
    </xf>
    <xf numFmtId="0" fontId="0" fillId="9" borderId="0" xfId="0" applyFill="1" applyBorder="1"/>
    <xf numFmtId="0" fontId="0" fillId="9" borderId="13" xfId="0" applyFill="1" applyBorder="1"/>
    <xf numFmtId="0" fontId="12" fillId="9" borderId="0" xfId="0" applyFont="1" applyFill="1" applyBorder="1" applyAlignment="1">
      <alignment horizontal="left" vertical="top" wrapText="1"/>
    </xf>
    <xf numFmtId="0" fontId="12" fillId="9" borderId="13" xfId="0" applyFont="1" applyFill="1" applyBorder="1" applyAlignment="1">
      <alignment horizontal="left" vertical="top" wrapText="1"/>
    </xf>
    <xf numFmtId="0" fontId="12" fillId="9" borderId="12" xfId="0" applyFont="1" applyFill="1" applyBorder="1" applyAlignment="1">
      <alignment horizontal="left" vertical="center"/>
    </xf>
    <xf numFmtId="0" fontId="12" fillId="9" borderId="0" xfId="0" applyFont="1" applyFill="1" applyBorder="1" applyAlignment="1">
      <alignment horizontal="left" vertical="center"/>
    </xf>
    <xf numFmtId="0" fontId="12" fillId="9" borderId="13" xfId="0" applyFont="1" applyFill="1" applyBorder="1" applyAlignment="1">
      <alignment horizontal="left" vertical="center"/>
    </xf>
    <xf numFmtId="0" fontId="21" fillId="9" borderId="0" xfId="2" applyFont="1" applyFill="1" applyBorder="1" applyAlignment="1">
      <alignment horizontal="left" vertical="center" wrapText="1"/>
    </xf>
    <xf numFmtId="0" fontId="21" fillId="9" borderId="0" xfId="2" applyFont="1" applyFill="1" applyBorder="1" applyAlignment="1">
      <alignment horizontal="left" vertical="center"/>
    </xf>
    <xf numFmtId="0" fontId="21" fillId="9" borderId="13" xfId="2" applyFont="1" applyFill="1" applyBorder="1" applyAlignment="1">
      <alignment horizontal="left" vertical="center"/>
    </xf>
    <xf numFmtId="0" fontId="21" fillId="9" borderId="15" xfId="2" applyFont="1" applyFill="1" applyBorder="1" applyAlignment="1">
      <alignment horizontal="left" vertical="center"/>
    </xf>
    <xf numFmtId="0" fontId="21" fillId="9" borderId="16" xfId="2" applyFont="1" applyFill="1" applyBorder="1" applyAlignment="1">
      <alignment horizontal="left" vertical="center"/>
    </xf>
    <xf numFmtId="0" fontId="12" fillId="9" borderId="9" xfId="0" applyFont="1" applyFill="1" applyBorder="1" applyAlignment="1">
      <alignment horizontal="left" vertical="top" wrapText="1"/>
    </xf>
    <xf numFmtId="0" fontId="0" fillId="9" borderId="10" xfId="0" applyFill="1" applyBorder="1"/>
    <xf numFmtId="0" fontId="0" fillId="9" borderId="11" xfId="0" applyFill="1" applyBorder="1"/>
    <xf numFmtId="0" fontId="0" fillId="9" borderId="12" xfId="0" applyFill="1" applyBorder="1"/>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top" wrapText="1"/>
    </xf>
    <xf numFmtId="0" fontId="5" fillId="2" borderId="23" xfId="0" applyFont="1" applyFill="1" applyBorder="1" applyAlignment="1">
      <alignment horizontal="center" vertical="top" wrapText="1"/>
    </xf>
    <xf numFmtId="0" fontId="5" fillId="2" borderId="25" xfId="0" applyFont="1" applyFill="1" applyBorder="1" applyAlignment="1">
      <alignment horizontal="center" vertical="top" wrapText="1"/>
    </xf>
    <xf numFmtId="0" fontId="21" fillId="19" borderId="10" xfId="2" applyFont="1" applyFill="1" applyBorder="1" applyAlignment="1">
      <alignment horizontal="left" vertical="top" wrapText="1"/>
    </xf>
    <xf numFmtId="0" fontId="21" fillId="19" borderId="11" xfId="2" applyFont="1" applyFill="1" applyBorder="1" applyAlignment="1">
      <alignment horizontal="left" vertical="top" wrapText="1"/>
    </xf>
    <xf numFmtId="0" fontId="21" fillId="19" borderId="0" xfId="2" applyFont="1" applyFill="1" applyBorder="1" applyAlignment="1">
      <alignment horizontal="left" vertical="top" wrapText="1"/>
    </xf>
    <xf numFmtId="0" fontId="21" fillId="19" borderId="13" xfId="2" applyFont="1" applyFill="1" applyBorder="1" applyAlignment="1">
      <alignment horizontal="left" vertical="top" wrapText="1"/>
    </xf>
    <xf numFmtId="0" fontId="21" fillId="9" borderId="0" xfId="2" applyFont="1" applyFill="1" applyBorder="1" applyAlignment="1">
      <alignment horizontal="left" wrapText="1"/>
    </xf>
    <xf numFmtId="0" fontId="21" fillId="9" borderId="13" xfId="2" applyFont="1" applyFill="1" applyBorder="1" applyAlignment="1">
      <alignment horizontal="left" wrapText="1"/>
    </xf>
    <xf numFmtId="0" fontId="21" fillId="19" borderId="0" xfId="2" applyFont="1" applyFill="1" applyBorder="1" applyAlignment="1">
      <alignment horizontal="left" wrapText="1"/>
    </xf>
    <xf numFmtId="0" fontId="21" fillId="19" borderId="13" xfId="2" applyFont="1" applyFill="1" applyBorder="1" applyAlignment="1">
      <alignment horizontal="left" wrapText="1"/>
    </xf>
    <xf numFmtId="0" fontId="22" fillId="9" borderId="0" xfId="2" applyFont="1" applyFill="1" applyBorder="1" applyAlignment="1">
      <alignment horizontal="left" wrapText="1"/>
    </xf>
    <xf numFmtId="0" fontId="22" fillId="9" borderId="13" xfId="2" applyFont="1" applyFill="1" applyBorder="1" applyAlignment="1">
      <alignment horizontal="left" wrapText="1"/>
    </xf>
    <xf numFmtId="20" fontId="12" fillId="9" borderId="0" xfId="0" applyNumberFormat="1" applyFont="1" applyFill="1" applyBorder="1" applyAlignment="1">
      <alignment vertical="top" wrapText="1"/>
    </xf>
    <xf numFmtId="20" fontId="12" fillId="9" borderId="13" xfId="0" applyNumberFormat="1" applyFont="1" applyFill="1" applyBorder="1" applyAlignment="1">
      <alignment vertical="top" wrapText="1"/>
    </xf>
    <xf numFmtId="0" fontId="21" fillId="19" borderId="0" xfId="0" applyFont="1" applyFill="1" applyBorder="1" applyAlignment="1">
      <alignment horizontal="left" wrapText="1"/>
    </xf>
    <xf numFmtId="0" fontId="21" fillId="19" borderId="13" xfId="0" applyFont="1" applyFill="1" applyBorder="1" applyAlignment="1">
      <alignment horizontal="left" wrapText="1"/>
    </xf>
    <xf numFmtId="0" fontId="12" fillId="20" borderId="12" xfId="0" applyNumberFormat="1" applyFont="1" applyFill="1" applyBorder="1" applyAlignment="1">
      <alignment horizontal="center" vertical="top" wrapText="1"/>
    </xf>
    <xf numFmtId="0" fontId="12" fillId="20" borderId="0" xfId="0" applyNumberFormat="1" applyFont="1" applyFill="1" applyBorder="1" applyAlignment="1">
      <alignment horizontal="center" vertical="top" wrapText="1"/>
    </xf>
    <xf numFmtId="0" fontId="5" fillId="2" borderId="24" xfId="0" applyFont="1" applyFill="1" applyBorder="1" applyAlignment="1">
      <alignment horizontal="center"/>
    </xf>
    <xf numFmtId="0" fontId="5" fillId="2" borderId="23" xfId="0" applyFont="1" applyFill="1" applyBorder="1" applyAlignment="1">
      <alignment horizontal="center"/>
    </xf>
    <xf numFmtId="0" fontId="5" fillId="2" borderId="25" xfId="0" applyFont="1" applyFill="1" applyBorder="1" applyAlignment="1">
      <alignment horizontal="center"/>
    </xf>
    <xf numFmtId="0" fontId="0" fillId="8" borderId="0" xfId="0" applyFill="1" applyBorder="1" applyAlignment="1">
      <alignment horizontal="left" vertical="top" wrapText="1"/>
    </xf>
    <xf numFmtId="0" fontId="0" fillId="8" borderId="8" xfId="0" applyFill="1" applyBorder="1" applyAlignment="1">
      <alignment horizontal="left" vertical="top" wrapText="1"/>
    </xf>
    <xf numFmtId="0" fontId="0" fillId="8" borderId="0" xfId="0" applyFill="1" applyBorder="1" applyAlignment="1">
      <alignment horizontal="left"/>
    </xf>
    <xf numFmtId="0" fontId="0" fillId="8" borderId="8" xfId="0" applyFill="1" applyBorder="1" applyAlignment="1">
      <alignment horizontal="left"/>
    </xf>
    <xf numFmtId="0" fontId="0" fillId="8" borderId="0" xfId="0" applyFill="1" applyBorder="1" applyAlignment="1">
      <alignment horizontal="left" vertical="top"/>
    </xf>
    <xf numFmtId="0" fontId="0" fillId="8" borderId="8" xfId="0" applyFill="1" applyBorder="1" applyAlignment="1">
      <alignment horizontal="left" vertical="top"/>
    </xf>
    <xf numFmtId="0" fontId="5" fillId="19" borderId="1" xfId="0" applyFont="1" applyFill="1" applyBorder="1" applyAlignment="1">
      <alignment horizontal="center" vertical="center" wrapText="1"/>
    </xf>
    <xf numFmtId="0" fontId="5" fillId="19" borderId="3"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19" borderId="8" xfId="0" applyFont="1" applyFill="1" applyBorder="1" applyAlignment="1">
      <alignment horizontal="center" vertical="center" wrapText="1"/>
    </xf>
    <xf numFmtId="0" fontId="5" fillId="19" borderId="4" xfId="0" applyFont="1" applyFill="1" applyBorder="1" applyAlignment="1">
      <alignment horizontal="center" vertical="center" wrapText="1"/>
    </xf>
    <xf numFmtId="0" fontId="5" fillId="19" borderId="6"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5" fillId="3" borderId="24" xfId="0" applyFont="1" applyFill="1" applyBorder="1" applyAlignment="1">
      <alignment horizontal="center"/>
    </xf>
    <xf numFmtId="0" fontId="5" fillId="3" borderId="23" xfId="0" applyFont="1" applyFill="1" applyBorder="1" applyAlignment="1">
      <alignment horizontal="center"/>
    </xf>
    <xf numFmtId="0" fontId="5" fillId="3" borderId="25" xfId="0" applyFont="1" applyFill="1" applyBorder="1" applyAlignment="1">
      <alignment horizontal="center"/>
    </xf>
    <xf numFmtId="0" fontId="12" fillId="3" borderId="1" xfId="0" applyFont="1" applyFill="1" applyBorder="1" applyAlignment="1">
      <alignment horizontal="left"/>
    </xf>
    <xf numFmtId="0" fontId="12" fillId="3" borderId="2" xfId="0" applyFont="1" applyFill="1" applyBorder="1" applyAlignment="1">
      <alignment horizontal="left"/>
    </xf>
    <xf numFmtId="0" fontId="12" fillId="3" borderId="3" xfId="0" applyFont="1" applyFill="1" applyBorder="1" applyAlignment="1">
      <alignment horizontal="left"/>
    </xf>
    <xf numFmtId="0" fontId="12" fillId="3" borderId="7" xfId="0" applyFont="1" applyFill="1" applyBorder="1" applyAlignment="1">
      <alignment horizontal="left"/>
    </xf>
    <xf numFmtId="0" fontId="12" fillId="3" borderId="0" xfId="0" applyFont="1" applyFill="1" applyBorder="1" applyAlignment="1">
      <alignment horizontal="left"/>
    </xf>
    <xf numFmtId="0" fontId="12" fillId="3" borderId="8" xfId="0" applyFont="1" applyFill="1" applyBorder="1" applyAlignment="1">
      <alignment horizontal="left"/>
    </xf>
    <xf numFmtId="0" fontId="28" fillId="3" borderId="0" xfId="0" applyFont="1" applyFill="1" applyBorder="1" applyAlignment="1">
      <alignment horizontal="left"/>
    </xf>
    <xf numFmtId="0" fontId="28" fillId="3" borderId="8" xfId="0" applyFont="1" applyFill="1" applyBorder="1" applyAlignment="1">
      <alignment horizontal="left"/>
    </xf>
    <xf numFmtId="0" fontId="5" fillId="3" borderId="7" xfId="0" applyFont="1" applyFill="1" applyBorder="1" applyAlignment="1">
      <alignment horizontal="left"/>
    </xf>
    <xf numFmtId="0" fontId="5" fillId="3" borderId="0" xfId="0" applyFont="1" applyFill="1" applyBorder="1" applyAlignment="1">
      <alignment horizontal="left"/>
    </xf>
    <xf numFmtId="0" fontId="1" fillId="2" borderId="37" xfId="0" applyFont="1" applyFill="1" applyBorder="1" applyAlignment="1">
      <alignment horizontal="center"/>
    </xf>
    <xf numFmtId="0" fontId="1" fillId="2" borderId="38" xfId="0" applyFont="1" applyFill="1" applyBorder="1" applyAlignment="1">
      <alignment horizontal="center"/>
    </xf>
    <xf numFmtId="0" fontId="1" fillId="2" borderId="39" xfId="0" applyFont="1" applyFill="1" applyBorder="1" applyAlignment="1">
      <alignment horizontal="center"/>
    </xf>
    <xf numFmtId="0" fontId="30" fillId="21" borderId="1" xfId="0" applyFont="1" applyFill="1" applyBorder="1" applyAlignment="1">
      <alignment horizontal="center" vertical="center"/>
    </xf>
    <xf numFmtId="0" fontId="30" fillId="21" borderId="3" xfId="0" applyFont="1" applyFill="1" applyBorder="1" applyAlignment="1">
      <alignment horizontal="center" vertical="center"/>
    </xf>
    <xf numFmtId="0" fontId="30" fillId="21" borderId="7" xfId="0" applyFont="1" applyFill="1" applyBorder="1" applyAlignment="1">
      <alignment horizontal="center" vertical="center"/>
    </xf>
    <xf numFmtId="0" fontId="30" fillId="21" borderId="8" xfId="0" applyFont="1" applyFill="1" applyBorder="1" applyAlignment="1">
      <alignment horizontal="center" vertical="center"/>
    </xf>
    <xf numFmtId="0" fontId="30" fillId="21" borderId="4" xfId="0" applyFont="1" applyFill="1" applyBorder="1" applyAlignment="1">
      <alignment horizontal="center" vertical="center"/>
    </xf>
    <xf numFmtId="0" fontId="30" fillId="21" borderId="6"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5" fillId="2" borderId="37" xfId="0" applyFont="1" applyFill="1" applyBorder="1" applyAlignment="1">
      <alignment horizontal="center"/>
    </xf>
    <xf numFmtId="0" fontId="5" fillId="2" borderId="38" xfId="0" applyFont="1" applyFill="1" applyBorder="1" applyAlignment="1">
      <alignment horizontal="center"/>
    </xf>
    <xf numFmtId="0" fontId="5" fillId="2" borderId="39" xfId="0" applyFont="1" applyFill="1" applyBorder="1" applyAlignment="1">
      <alignment horizontal="center"/>
    </xf>
    <xf numFmtId="0" fontId="0" fillId="0" borderId="0" xfId="0" applyAlignment="1">
      <alignment horizontal="center"/>
    </xf>
    <xf numFmtId="1" fontId="5" fillId="2" borderId="24" xfId="0" applyNumberFormat="1" applyFont="1" applyFill="1" applyBorder="1" applyAlignment="1">
      <alignment horizontal="center"/>
    </xf>
    <xf numFmtId="1" fontId="5" fillId="2" borderId="23" xfId="0" applyNumberFormat="1" applyFont="1" applyFill="1" applyBorder="1" applyAlignment="1">
      <alignment horizontal="center"/>
    </xf>
    <xf numFmtId="1" fontId="5" fillId="2" borderId="25" xfId="0" applyNumberFormat="1" applyFont="1" applyFill="1" applyBorder="1" applyAlignment="1">
      <alignment horizontal="center"/>
    </xf>
    <xf numFmtId="0" fontId="0" fillId="13" borderId="1" xfId="0" applyFill="1" applyBorder="1" applyAlignment="1">
      <alignment horizontal="center"/>
    </xf>
    <xf numFmtId="0" fontId="0" fillId="13" borderId="3" xfId="0" applyFill="1" applyBorder="1" applyAlignment="1">
      <alignment horizontal="center"/>
    </xf>
    <xf numFmtId="0" fontId="0" fillId="4" borderId="24" xfId="0" applyFill="1" applyBorder="1" applyAlignment="1">
      <alignment horizontal="center"/>
    </xf>
    <xf numFmtId="0" fontId="0" fillId="4" borderId="23" xfId="0" applyFill="1" applyBorder="1" applyAlignment="1">
      <alignment horizontal="center"/>
    </xf>
    <xf numFmtId="0" fontId="0" fillId="4" borderId="25" xfId="0" applyFill="1" applyBorder="1" applyAlignment="1">
      <alignment horizontal="center"/>
    </xf>
    <xf numFmtId="0" fontId="12" fillId="9" borderId="0" xfId="0" applyFont="1" applyFill="1" applyBorder="1" applyAlignment="1">
      <alignment horizontal="left"/>
    </xf>
    <xf numFmtId="0" fontId="12" fillId="9" borderId="8" xfId="0" applyFont="1" applyFill="1" applyBorder="1" applyAlignment="1">
      <alignment horizontal="left"/>
    </xf>
    <xf numFmtId="0" fontId="27" fillId="9" borderId="0" xfId="0" applyFont="1" applyFill="1" applyBorder="1" applyAlignment="1">
      <alignment horizontal="left"/>
    </xf>
    <xf numFmtId="0" fontId="27" fillId="9" borderId="8" xfId="0" applyFont="1" applyFill="1" applyBorder="1" applyAlignment="1">
      <alignment horizontal="left"/>
    </xf>
    <xf numFmtId="0" fontId="12" fillId="9" borderId="10" xfId="0" applyFont="1" applyFill="1" applyBorder="1" applyAlignment="1">
      <alignment horizontal="left"/>
    </xf>
    <xf numFmtId="0" fontId="12" fillId="9" borderId="45" xfId="0" applyFont="1" applyFill="1" applyBorder="1" applyAlignment="1">
      <alignment horizontal="left"/>
    </xf>
    <xf numFmtId="0" fontId="0" fillId="6" borderId="24" xfId="0" applyFill="1" applyBorder="1" applyAlignment="1">
      <alignment horizontal="center"/>
    </xf>
    <xf numFmtId="0" fontId="0" fillId="6" borderId="23" xfId="0" applyFill="1" applyBorder="1" applyAlignment="1">
      <alignment horizontal="center"/>
    </xf>
    <xf numFmtId="0" fontId="0" fillId="6" borderId="25" xfId="0" applyFill="1" applyBorder="1" applyAlignment="1">
      <alignment horizontal="center"/>
    </xf>
    <xf numFmtId="0" fontId="0" fillId="3" borderId="24" xfId="0" applyFill="1" applyBorder="1" applyAlignment="1">
      <alignment horizontal="center"/>
    </xf>
    <xf numFmtId="0" fontId="0" fillId="3" borderId="23" xfId="0" applyFill="1" applyBorder="1" applyAlignment="1">
      <alignment horizontal="center"/>
    </xf>
    <xf numFmtId="0" fontId="0" fillId="3" borderId="25" xfId="0"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10" fillId="20" borderId="23" xfId="0" applyFont="1" applyFill="1" applyBorder="1" applyAlignment="1">
      <alignment horizontal="center"/>
    </xf>
    <xf numFmtId="0" fontId="10" fillId="20" borderId="25" xfId="0" applyFont="1" applyFill="1" applyBorder="1" applyAlignment="1">
      <alignment horizontal="center"/>
    </xf>
    <xf numFmtId="0" fontId="0" fillId="19" borderId="23" xfId="0" applyFill="1" applyBorder="1" applyAlignment="1">
      <alignment horizontal="center"/>
    </xf>
  </cellXfs>
  <cellStyles count="3">
    <cellStyle name="Normal" xfId="0" builtinId="0"/>
    <cellStyle name="Normal 10" xfId="2"/>
    <cellStyle name="Normal_PowerPlantInfra_Sum"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568003416543974"/>
          <c:y val="0.11102655018021397"/>
          <c:w val="0.68131371348622449"/>
          <c:h val="0.68704750141526427"/>
        </c:manualLayout>
      </c:layout>
      <c:scatterChart>
        <c:scatterStyle val="lineMarker"/>
        <c:ser>
          <c:idx val="9"/>
          <c:order val="0"/>
          <c:tx>
            <c:v>EGS-3 lnr</c:v>
          </c:tx>
          <c:spPr>
            <a:ln w="28575">
              <a:noFill/>
            </a:ln>
          </c:spPr>
          <c:marker>
            <c:symbol val="square"/>
            <c:size val="4"/>
            <c:spPr>
              <a:solidFill>
                <a:srgbClr val="C00000"/>
              </a:solidFill>
            </c:spPr>
          </c:marker>
          <c:errBars>
            <c:errDir val="y"/>
            <c:errBarType val="both"/>
            <c:errValType val="cust"/>
            <c:plus>
              <c:numRef>
                <c:f>'Matl=f(depth)'!$AD$15</c:f>
                <c:numCache>
                  <c:formatCode>General</c:formatCode>
                  <c:ptCount val="1"/>
                  <c:pt idx="0">
                    <c:v>532.69393169770638</c:v>
                  </c:pt>
                </c:numCache>
              </c:numRef>
            </c:plus>
            <c:minus>
              <c:numRef>
                <c:f>'Matl=f(depth)'!$AD$15</c:f>
                <c:numCache>
                  <c:formatCode>General</c:formatCode>
                  <c:ptCount val="1"/>
                  <c:pt idx="0">
                    <c:v>532.69393169770638</c:v>
                  </c:pt>
                </c:numCache>
              </c:numRef>
            </c:minus>
          </c:errBars>
          <c:xVal>
            <c:numRef>
              <c:f>'Matl=f(depth)'!$AB$15</c:f>
              <c:numCache>
                <c:formatCode>General</c:formatCode>
                <c:ptCount val="1"/>
                <c:pt idx="0">
                  <c:v>6.05</c:v>
                </c:pt>
              </c:numCache>
            </c:numRef>
          </c:xVal>
          <c:yVal>
            <c:numRef>
              <c:f>'Matl=f(depth)'!$AC$15</c:f>
              <c:numCache>
                <c:formatCode>0</c:formatCode>
                <c:ptCount val="1"/>
                <c:pt idx="0">
                  <c:v>970.18440086583109</c:v>
                </c:pt>
              </c:numCache>
            </c:numRef>
          </c:yVal>
        </c:ser>
        <c:ser>
          <c:idx val="0"/>
          <c:order val="1"/>
          <c:tx>
            <c:v>EGS-2 lnr</c:v>
          </c:tx>
          <c:spPr>
            <a:ln w="28575">
              <a:noFill/>
            </a:ln>
          </c:spPr>
          <c:marker>
            <c:symbol val="square"/>
            <c:size val="4"/>
            <c:spPr>
              <a:solidFill>
                <a:srgbClr val="000099"/>
              </a:solidFill>
            </c:spPr>
          </c:marker>
          <c:errBars>
            <c:errDir val="y"/>
            <c:errBarType val="both"/>
            <c:errValType val="cust"/>
            <c:plus>
              <c:numRef>
                <c:f>'Matl=f(depth)'!$AD$11:$AD$12</c:f>
                <c:numCache>
                  <c:formatCode>General</c:formatCode>
                  <c:ptCount val="2"/>
                  <c:pt idx="0">
                    <c:v>209.55232941389613</c:v>
                  </c:pt>
                  <c:pt idx="1">
                    <c:v>239.6473497909673</c:v>
                  </c:pt>
                </c:numCache>
              </c:numRef>
            </c:plus>
            <c:minus>
              <c:numRef>
                <c:f>'Matl=f(depth)'!$AD$11:$AD$12</c:f>
                <c:numCache>
                  <c:formatCode>General</c:formatCode>
                  <c:ptCount val="2"/>
                  <c:pt idx="0">
                    <c:v>209.55232941389613</c:v>
                  </c:pt>
                  <c:pt idx="1">
                    <c:v>239.6473497909673</c:v>
                  </c:pt>
                </c:numCache>
              </c:numRef>
            </c:minus>
          </c:errBars>
          <c:xVal>
            <c:numRef>
              <c:f>'Matl=f(depth)'!$AB$11:$AB$12</c:f>
              <c:numCache>
                <c:formatCode>General</c:formatCode>
                <c:ptCount val="2"/>
                <c:pt idx="0">
                  <c:v>5.05</c:v>
                </c:pt>
                <c:pt idx="1">
                  <c:v>5.95</c:v>
                </c:pt>
              </c:numCache>
            </c:numRef>
          </c:xVal>
          <c:yVal>
            <c:numRef>
              <c:f>'Matl=f(depth)'!$AC$11:$AC$12</c:f>
              <c:numCache>
                <c:formatCode>0</c:formatCode>
                <c:ptCount val="2"/>
                <c:pt idx="0">
                  <c:v>398.24891539905582</c:v>
                </c:pt>
                <c:pt idx="1">
                  <c:v>436.4647439009583</c:v>
                </c:pt>
              </c:numCache>
            </c:numRef>
          </c:yVal>
        </c:ser>
        <c:ser>
          <c:idx val="2"/>
          <c:order val="2"/>
          <c:tx>
            <c:v>EGS-1 lnr</c:v>
          </c:tx>
          <c:spPr>
            <a:ln w="28575">
              <a:noFill/>
            </a:ln>
          </c:spPr>
          <c:marker>
            <c:symbol val="square"/>
            <c:size val="4"/>
            <c:spPr>
              <a:solidFill>
                <a:schemeClr val="accent4">
                  <a:lumMod val="75000"/>
                </a:schemeClr>
              </a:solidFill>
            </c:spPr>
          </c:marker>
          <c:errBars>
            <c:errDir val="y"/>
            <c:errBarType val="both"/>
            <c:errValType val="cust"/>
            <c:plus>
              <c:numRef>
                <c:f>'Matl=f(depth)'!$AD$9:$AD$10</c:f>
                <c:numCache>
                  <c:formatCode>General</c:formatCode>
                  <c:ptCount val="2"/>
                  <c:pt idx="0">
                    <c:v>103.09418028968281</c:v>
                  </c:pt>
                  <c:pt idx="1">
                    <c:v>127.86634743445759</c:v>
                  </c:pt>
                </c:numCache>
              </c:numRef>
            </c:plus>
            <c:minus>
              <c:numRef>
                <c:f>'Matl=f(depth)'!$AD$9:$AD$10</c:f>
                <c:numCache>
                  <c:formatCode>General</c:formatCode>
                  <c:ptCount val="2"/>
                  <c:pt idx="0">
                    <c:v>103.09418028968281</c:v>
                  </c:pt>
                  <c:pt idx="1">
                    <c:v>127.86634743445759</c:v>
                  </c:pt>
                </c:numCache>
              </c:numRef>
            </c:minus>
          </c:errBars>
          <c:xVal>
            <c:numRef>
              <c:f>'Matl=f(depth)'!$AB$9:$AB$10</c:f>
              <c:numCache>
                <c:formatCode>General</c:formatCode>
                <c:ptCount val="2"/>
                <c:pt idx="0">
                  <c:v>4</c:v>
                </c:pt>
                <c:pt idx="1">
                  <c:v>4.95</c:v>
                </c:pt>
              </c:numCache>
            </c:numRef>
          </c:xVal>
          <c:yVal>
            <c:numRef>
              <c:f>'Matl=f(depth)'!$AC$9:$AC$10</c:f>
              <c:numCache>
                <c:formatCode>0</c:formatCode>
                <c:ptCount val="2"/>
                <c:pt idx="0">
                  <c:v>202.06047719410492</c:v>
                </c:pt>
                <c:pt idx="1">
                  <c:v>243.00676744676974</c:v>
                </c:pt>
              </c:numCache>
            </c:numRef>
          </c:yVal>
        </c:ser>
        <c:ser>
          <c:idx val="1"/>
          <c:order val="3"/>
          <c:tx>
            <c:v>HT-Binary</c:v>
          </c:tx>
          <c:spPr>
            <a:ln w="28575">
              <a:noFill/>
            </a:ln>
          </c:spPr>
          <c:marker>
            <c:symbol val="triangle"/>
            <c:size val="4"/>
            <c:spPr>
              <a:solidFill>
                <a:srgbClr val="C00000"/>
              </a:solidFill>
            </c:spPr>
          </c:marker>
          <c:errBars>
            <c:errDir val="y"/>
            <c:errBarType val="both"/>
            <c:errValType val="percentage"/>
            <c:val val="22"/>
          </c:errBars>
          <c:xVal>
            <c:numRef>
              <c:f>'Matl=f(depth)'!$X$19:$X$24</c:f>
              <c:numCache>
                <c:formatCode>General</c:formatCode>
                <c:ptCount val="6"/>
                <c:pt idx="0">
                  <c:v>0.67</c:v>
                </c:pt>
                <c:pt idx="1">
                  <c:v>1</c:v>
                </c:pt>
                <c:pt idx="4">
                  <c:v>1.5</c:v>
                </c:pt>
                <c:pt idx="5">
                  <c:v>1.95</c:v>
                </c:pt>
              </c:numCache>
            </c:numRef>
          </c:xVal>
          <c:yVal>
            <c:numRef>
              <c:f>'Matl=f(depth)'!$Y$19:$Y$24</c:f>
              <c:numCache>
                <c:formatCode>#,##0.0</c:formatCode>
                <c:ptCount val="6"/>
                <c:pt idx="0">
                  <c:v>52.336786805322518</c:v>
                </c:pt>
                <c:pt idx="1">
                  <c:v>60.286658149316928</c:v>
                </c:pt>
                <c:pt idx="4">
                  <c:v>71.758399478495647</c:v>
                </c:pt>
                <c:pt idx="5">
                  <c:v>82.308049181658205</c:v>
                </c:pt>
              </c:numCache>
            </c:numRef>
          </c:yVal>
        </c:ser>
        <c:ser>
          <c:idx val="3"/>
          <c:order val="4"/>
          <c:tx>
            <c:v>HT-Flash</c:v>
          </c:tx>
          <c:spPr>
            <a:ln w="28575">
              <a:noFill/>
            </a:ln>
          </c:spPr>
          <c:marker>
            <c:symbol val="circle"/>
            <c:size val="6"/>
            <c:spPr>
              <a:noFill/>
            </c:spPr>
          </c:marker>
          <c:errBars>
            <c:errDir val="y"/>
            <c:errBarType val="both"/>
            <c:errValType val="cust"/>
            <c:plus>
              <c:numRef>
                <c:f>'Matl=f(depth)'!$AD$19:$AD$25</c:f>
                <c:numCache>
                  <c:formatCode>General</c:formatCode>
                  <c:ptCount val="7"/>
                  <c:pt idx="0">
                    <c:v>18.366985598252299</c:v>
                  </c:pt>
                  <c:pt idx="1">
                    <c:v>21.481359931872166</c:v>
                  </c:pt>
                  <c:pt idx="4">
                    <c:v>49.993827581873845</c:v>
                  </c:pt>
                  <c:pt idx="5">
                    <c:v>62.889555912775755</c:v>
                  </c:pt>
                  <c:pt idx="6">
                    <c:v>67.237656991037852</c:v>
                  </c:pt>
                </c:numCache>
              </c:numRef>
            </c:plus>
            <c:minus>
              <c:numRef>
                <c:f>'Matl=f(depth)'!$AD$19:$AD$25</c:f>
                <c:numCache>
                  <c:formatCode>General</c:formatCode>
                  <c:ptCount val="7"/>
                  <c:pt idx="0">
                    <c:v>18.366985598252299</c:v>
                  </c:pt>
                  <c:pt idx="1">
                    <c:v>21.481359931872166</c:v>
                  </c:pt>
                  <c:pt idx="4">
                    <c:v>49.993827581873845</c:v>
                  </c:pt>
                  <c:pt idx="5">
                    <c:v>62.889555912775755</c:v>
                  </c:pt>
                  <c:pt idx="6">
                    <c:v>67.237656991037852</c:v>
                  </c:pt>
                </c:numCache>
              </c:numRef>
            </c:minus>
          </c:errBars>
          <c:xVal>
            <c:numRef>
              <c:f>'Matl=f(depth)'!$AB$19:$AB$25</c:f>
              <c:numCache>
                <c:formatCode>General</c:formatCode>
                <c:ptCount val="7"/>
                <c:pt idx="0">
                  <c:v>1.5</c:v>
                </c:pt>
                <c:pt idx="1">
                  <c:v>1.95</c:v>
                </c:pt>
                <c:pt idx="4">
                  <c:v>2.0499999999999998</c:v>
                </c:pt>
                <c:pt idx="5">
                  <c:v>2.5</c:v>
                </c:pt>
                <c:pt idx="6">
                  <c:v>3</c:v>
                </c:pt>
              </c:numCache>
            </c:numRef>
          </c:xVal>
          <c:yVal>
            <c:numRef>
              <c:f>'Matl=f(depth)'!$AC$19:$AC$25</c:f>
              <c:numCache>
                <c:formatCode>0.0</c:formatCode>
                <c:ptCount val="7"/>
                <c:pt idx="0">
                  <c:v>57.668026150438401</c:v>
                </c:pt>
                <c:pt idx="1">
                  <c:v>68.214414298512494</c:v>
                </c:pt>
                <c:pt idx="4">
                  <c:v>158.75622762497539</c:v>
                </c:pt>
                <c:pt idx="5">
                  <c:v>200.31044692143408</c:v>
                </c:pt>
                <c:pt idx="6">
                  <c:v>214.79991706270184</c:v>
                </c:pt>
              </c:numCache>
            </c:numRef>
          </c:yVal>
        </c:ser>
        <c:ser>
          <c:idx val="4"/>
          <c:order val="5"/>
          <c:tx>
            <c:v>GPGE</c:v>
          </c:tx>
          <c:spPr>
            <a:ln w="28575">
              <a:noFill/>
            </a:ln>
          </c:spPr>
          <c:marker>
            <c:symbol val="square"/>
            <c:size val="3"/>
            <c:spPr>
              <a:solidFill>
                <a:srgbClr val="9F2A21"/>
              </a:solidFill>
            </c:spPr>
          </c:marker>
          <c:errBars>
            <c:errDir val="y"/>
            <c:errBarType val="both"/>
            <c:errValType val="cust"/>
            <c:plus>
              <c:numRef>
                <c:f>'Matl=f(depth)'!$AA$31:$AA$33</c:f>
                <c:numCache>
                  <c:formatCode>General</c:formatCode>
                  <c:ptCount val="3"/>
                  <c:pt idx="0">
                    <c:v>12.1</c:v>
                  </c:pt>
                  <c:pt idx="1">
                    <c:v>15.1</c:v>
                  </c:pt>
                  <c:pt idx="2">
                    <c:v>18.100000000000001</c:v>
                  </c:pt>
                </c:numCache>
              </c:numRef>
            </c:plus>
            <c:minus>
              <c:numRef>
                <c:f>'Matl=f(depth)'!$AA$31:$AA$33</c:f>
                <c:numCache>
                  <c:formatCode>General</c:formatCode>
                  <c:ptCount val="3"/>
                  <c:pt idx="0">
                    <c:v>12.1</c:v>
                  </c:pt>
                  <c:pt idx="1">
                    <c:v>15.1</c:v>
                  </c:pt>
                  <c:pt idx="2">
                    <c:v>18.100000000000001</c:v>
                  </c:pt>
                </c:numCache>
              </c:numRef>
            </c:minus>
          </c:errBars>
          <c:xVal>
            <c:numRef>
              <c:f>'Matl=f(depth)'!$X$31:$X$33</c:f>
              <c:numCache>
                <c:formatCode>General</c:formatCode>
                <c:ptCount val="3"/>
                <c:pt idx="0">
                  <c:v>4</c:v>
                </c:pt>
                <c:pt idx="1">
                  <c:v>5</c:v>
                </c:pt>
                <c:pt idx="2">
                  <c:v>6</c:v>
                </c:pt>
              </c:numCache>
            </c:numRef>
          </c:xVal>
          <c:yVal>
            <c:numRef>
              <c:f>'Matl=f(depth)'!$Y$31:$Y$33</c:f>
              <c:numCache>
                <c:formatCode>0.0</c:formatCode>
                <c:ptCount val="3"/>
                <c:pt idx="0">
                  <c:v>50.418391187977818</c:v>
                </c:pt>
                <c:pt idx="1">
                  <c:v>62.972632832959611</c:v>
                </c:pt>
                <c:pt idx="2">
                  <c:v>75.526874477941377</c:v>
                </c:pt>
              </c:numCache>
            </c:numRef>
          </c:yVal>
        </c:ser>
        <c:axId val="162684928"/>
        <c:axId val="162686848"/>
      </c:scatterChart>
      <c:valAx>
        <c:axId val="162684928"/>
        <c:scaling>
          <c:orientation val="minMax"/>
          <c:max val="8"/>
        </c:scaling>
        <c:axPos val="b"/>
        <c:title>
          <c:tx>
            <c:rich>
              <a:bodyPr/>
              <a:lstStyle/>
              <a:p>
                <a:pPr>
                  <a:defRPr sz="1050"/>
                </a:pPr>
                <a:r>
                  <a:rPr lang="en-US" sz="1050"/>
                  <a:t>Well Depth - km</a:t>
                </a:r>
              </a:p>
            </c:rich>
          </c:tx>
        </c:title>
        <c:numFmt formatCode="General" sourceLinked="1"/>
        <c:majorTickMark val="in"/>
        <c:minorTickMark val="in"/>
        <c:tickLblPos val="nextTo"/>
        <c:crossAx val="162686848"/>
        <c:crosses val="autoZero"/>
        <c:crossBetween val="midCat"/>
        <c:majorUnit val="2"/>
        <c:minorUnit val="1"/>
      </c:valAx>
      <c:valAx>
        <c:axId val="162686848"/>
        <c:scaling>
          <c:orientation val="minMax"/>
          <c:max val="1500"/>
          <c:min val="0"/>
        </c:scaling>
        <c:axPos val="l"/>
        <c:majorGridlines/>
        <c:title>
          <c:tx>
            <c:rich>
              <a:bodyPr/>
              <a:lstStyle/>
              <a:p>
                <a:pPr>
                  <a:defRPr sz="1050"/>
                </a:pPr>
                <a:r>
                  <a:rPr lang="en-US" sz="1050" baseline="0"/>
                  <a:t> Cement - </a:t>
                </a:r>
                <a:r>
                  <a:rPr lang="en-US" sz="1050"/>
                  <a:t>tonnes/MW</a:t>
                </a:r>
              </a:p>
            </c:rich>
          </c:tx>
        </c:title>
        <c:numFmt formatCode="0" sourceLinked="1"/>
        <c:majorTickMark val="in"/>
        <c:minorTickMark val="in"/>
        <c:tickLblPos val="nextTo"/>
        <c:crossAx val="162684928"/>
        <c:crosses val="autoZero"/>
        <c:crossBetween val="midCat"/>
        <c:majorUnit val="250"/>
        <c:minorUnit val="125"/>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988613231225621"/>
          <c:y val="0.11335137072623649"/>
          <c:w val="0.68150298790277686"/>
          <c:h val="0.68704750141526427"/>
        </c:manualLayout>
      </c:layout>
      <c:scatterChart>
        <c:scatterStyle val="lineMarker"/>
        <c:ser>
          <c:idx val="3"/>
          <c:order val="0"/>
          <c:tx>
            <c:v>HT-Binary</c:v>
          </c:tx>
          <c:spPr>
            <a:ln w="28575">
              <a:noFill/>
            </a:ln>
          </c:spPr>
          <c:marker>
            <c:symbol val="triangle"/>
            <c:size val="4"/>
            <c:spPr>
              <a:solidFill>
                <a:srgbClr val="C00000"/>
              </a:solidFill>
            </c:spPr>
          </c:marker>
          <c:errBars>
            <c:errDir val="y"/>
            <c:errBarType val="both"/>
            <c:errValType val="percentage"/>
            <c:val val="22"/>
          </c:errBars>
          <c:xVal>
            <c:numRef>
              <c:f>'Matl=f(depth)'!$W$46:$W$49</c:f>
              <c:numCache>
                <c:formatCode>General</c:formatCode>
                <c:ptCount val="4"/>
                <c:pt idx="0">
                  <c:v>0.67</c:v>
                </c:pt>
                <c:pt idx="1">
                  <c:v>1</c:v>
                </c:pt>
                <c:pt idx="2">
                  <c:v>1.5</c:v>
                </c:pt>
                <c:pt idx="3">
                  <c:v>1.95</c:v>
                </c:pt>
              </c:numCache>
            </c:numRef>
          </c:xVal>
          <c:yVal>
            <c:numRef>
              <c:f>'Matl=f(depth)'!$X$46:$X$49</c:f>
              <c:numCache>
                <c:formatCode>0.0</c:formatCode>
                <c:ptCount val="4"/>
                <c:pt idx="0">
                  <c:v>62.338811635917693</c:v>
                </c:pt>
                <c:pt idx="1">
                  <c:v>82.638075746725136</c:v>
                </c:pt>
                <c:pt idx="2">
                  <c:v>108.56579310083251</c:v>
                </c:pt>
                <c:pt idx="3">
                  <c:v>132.63278612532434</c:v>
                </c:pt>
              </c:numCache>
            </c:numRef>
          </c:yVal>
        </c:ser>
        <c:ser>
          <c:idx val="4"/>
          <c:order val="1"/>
          <c:tx>
            <c:v>HT-Flash</c:v>
          </c:tx>
          <c:spPr>
            <a:ln w="28575">
              <a:noFill/>
            </a:ln>
          </c:spPr>
          <c:marker>
            <c:symbol val="circle"/>
            <c:size val="4"/>
            <c:spPr>
              <a:noFill/>
            </c:spPr>
          </c:marker>
          <c:errBars>
            <c:errDir val="y"/>
            <c:errBarType val="both"/>
            <c:errValType val="cust"/>
            <c:plus>
              <c:numRef>
                <c:f>'Matl=f(depth)'!$AC$46:$AC$50</c:f>
                <c:numCache>
                  <c:formatCode>General</c:formatCode>
                  <c:ptCount val="5"/>
                  <c:pt idx="0">
                    <c:v>27.788055096510252</c:v>
                  </c:pt>
                  <c:pt idx="1">
                    <c:v>34.615479844953271</c:v>
                  </c:pt>
                  <c:pt idx="2">
                    <c:v>56.420919026476533</c:v>
                  </c:pt>
                  <c:pt idx="3">
                    <c:v>73.941663850657662</c:v>
                  </c:pt>
                  <c:pt idx="4">
                    <c:v>81.401101483801099</c:v>
                  </c:pt>
                </c:numCache>
              </c:numRef>
            </c:plus>
            <c:minus>
              <c:numRef>
                <c:f>'Matl=f(depth)'!$AC$46:$AC$50</c:f>
                <c:numCache>
                  <c:formatCode>General</c:formatCode>
                  <c:ptCount val="5"/>
                  <c:pt idx="0">
                    <c:v>27.788055096510252</c:v>
                  </c:pt>
                  <c:pt idx="1">
                    <c:v>34.615479844953271</c:v>
                  </c:pt>
                  <c:pt idx="2">
                    <c:v>56.420919026476533</c:v>
                  </c:pt>
                  <c:pt idx="3">
                    <c:v>73.941663850657662</c:v>
                  </c:pt>
                  <c:pt idx="4">
                    <c:v>81.401101483801099</c:v>
                  </c:pt>
                </c:numCache>
              </c:numRef>
            </c:minus>
          </c:errBars>
          <c:xVal>
            <c:numRef>
              <c:f>'Matl=f(depth)'!$AA$46:$AA$50</c:f>
              <c:numCache>
                <c:formatCode>General</c:formatCode>
                <c:ptCount val="5"/>
                <c:pt idx="0">
                  <c:v>1.5</c:v>
                </c:pt>
                <c:pt idx="1">
                  <c:v>2</c:v>
                </c:pt>
                <c:pt idx="2">
                  <c:v>2.0499999999999998</c:v>
                </c:pt>
                <c:pt idx="3">
                  <c:v>2.5</c:v>
                </c:pt>
                <c:pt idx="4">
                  <c:v>3</c:v>
                </c:pt>
              </c:numCache>
            </c:numRef>
          </c:xVal>
          <c:yVal>
            <c:numRef>
              <c:f>'Matl=f(depth)'!$AB$46:$AB$50</c:f>
              <c:numCache>
                <c:formatCode>0.0</c:formatCode>
                <c:ptCount val="5"/>
                <c:pt idx="0">
                  <c:v>87.247974328888219</c:v>
                </c:pt>
                <c:pt idx="1">
                  <c:v>109.92202964682876</c:v>
                </c:pt>
                <c:pt idx="2">
                  <c:v>179.16556297092157</c:v>
                </c:pt>
                <c:pt idx="3">
                  <c:v>235.51267801257967</c:v>
                </c:pt>
                <c:pt idx="4">
                  <c:v>260.04698304498669</c:v>
                </c:pt>
              </c:numCache>
            </c:numRef>
          </c:yVal>
        </c:ser>
        <c:ser>
          <c:idx val="0"/>
          <c:order val="2"/>
          <c:tx>
            <c:v>EGS-1 lnr</c:v>
          </c:tx>
          <c:spPr>
            <a:ln w="28575">
              <a:noFill/>
            </a:ln>
          </c:spPr>
          <c:marker>
            <c:symbol val="square"/>
            <c:size val="4"/>
            <c:spPr>
              <a:solidFill>
                <a:schemeClr val="accent3">
                  <a:lumMod val="50000"/>
                </a:schemeClr>
              </a:solidFill>
            </c:spPr>
          </c:marker>
          <c:errBars>
            <c:errDir val="y"/>
            <c:errBarType val="both"/>
            <c:errValType val="cust"/>
            <c:plus>
              <c:numRef>
                <c:f>'Matl=f(depth)'!$AH$46:$AH$47</c:f>
                <c:numCache>
                  <c:formatCode>General</c:formatCode>
                  <c:ptCount val="2"/>
                  <c:pt idx="0">
                    <c:v>154.53182862954577</c:v>
                  </c:pt>
                  <c:pt idx="1">
                    <c:v>193.60681934863985</c:v>
                  </c:pt>
                </c:numCache>
              </c:numRef>
            </c:plus>
            <c:minus>
              <c:numRef>
                <c:f>'Matl=f(depth)'!$AH$46:$AH$47</c:f>
                <c:numCache>
                  <c:formatCode>General</c:formatCode>
                  <c:ptCount val="2"/>
                  <c:pt idx="0">
                    <c:v>154.53182862954577</c:v>
                  </c:pt>
                  <c:pt idx="1">
                    <c:v>193.60681934863985</c:v>
                  </c:pt>
                </c:numCache>
              </c:numRef>
            </c:minus>
          </c:errBars>
          <c:xVal>
            <c:numRef>
              <c:f>'Matl=f(depth)'!$AF$46:$AF$47</c:f>
              <c:numCache>
                <c:formatCode>General</c:formatCode>
                <c:ptCount val="2"/>
                <c:pt idx="0">
                  <c:v>4</c:v>
                </c:pt>
                <c:pt idx="1">
                  <c:v>4.95</c:v>
                </c:pt>
              </c:numCache>
            </c:numRef>
          </c:xVal>
          <c:yVal>
            <c:numRef>
              <c:f>'Matl=f(depth)'!$AG$46:$AG$47</c:f>
              <c:numCache>
                <c:formatCode>0.0</c:formatCode>
                <c:ptCount val="2"/>
                <c:pt idx="0">
                  <c:v>302.87621422301078</c:v>
                </c:pt>
                <c:pt idx="1">
                  <c:v>367.9448757983775</c:v>
                </c:pt>
              </c:numCache>
            </c:numRef>
          </c:yVal>
        </c:ser>
        <c:ser>
          <c:idx val="1"/>
          <c:order val="3"/>
          <c:tx>
            <c:v>EGS-2 lnr</c:v>
          </c:tx>
          <c:spPr>
            <a:ln w="28575">
              <a:noFill/>
            </a:ln>
          </c:spPr>
          <c:marker>
            <c:symbol val="square"/>
            <c:size val="4"/>
            <c:spPr>
              <a:solidFill>
                <a:schemeClr val="accent1">
                  <a:lumMod val="75000"/>
                </a:schemeClr>
              </a:solidFill>
            </c:spPr>
          </c:marker>
          <c:errBars>
            <c:errDir val="y"/>
            <c:errBarType val="both"/>
            <c:errValType val="cust"/>
            <c:plus>
              <c:numRef>
                <c:f>'Matl=f(depth)'!$AH$48:$AH$49</c:f>
                <c:numCache>
                  <c:formatCode>General</c:formatCode>
                  <c:ptCount val="2"/>
                  <c:pt idx="0">
                    <c:v>324.60306014206907</c:v>
                  </c:pt>
                  <c:pt idx="1">
                    <c:v>388.55612875803496</c:v>
                  </c:pt>
                </c:numCache>
              </c:numRef>
            </c:plus>
            <c:minus>
              <c:numRef>
                <c:f>'Matl=f(depth)'!$AH$48:$AH$49</c:f>
                <c:numCache>
                  <c:formatCode>General</c:formatCode>
                  <c:ptCount val="2"/>
                  <c:pt idx="0">
                    <c:v>324.60306014206907</c:v>
                  </c:pt>
                  <c:pt idx="1">
                    <c:v>388.55612875803496</c:v>
                  </c:pt>
                </c:numCache>
              </c:numRef>
            </c:minus>
          </c:errBars>
          <c:xVal>
            <c:numRef>
              <c:f>'Matl=f(depth)'!$AF$48:$AF$49</c:f>
              <c:numCache>
                <c:formatCode>General</c:formatCode>
                <c:ptCount val="2"/>
                <c:pt idx="0">
                  <c:v>5.05</c:v>
                </c:pt>
                <c:pt idx="1">
                  <c:v>5.95</c:v>
                </c:pt>
              </c:numCache>
            </c:numRef>
          </c:xVal>
          <c:yVal>
            <c:numRef>
              <c:f>'Matl=f(depth)'!$AG$48:$AG$49</c:f>
              <c:numCache>
                <c:formatCode>0.0</c:formatCode>
                <c:ptCount val="2"/>
                <c:pt idx="0">
                  <c:v>616.89992661193946</c:v>
                </c:pt>
                <c:pt idx="1">
                  <c:v>707.66921218803179</c:v>
                </c:pt>
              </c:numCache>
            </c:numRef>
          </c:yVal>
        </c:ser>
        <c:ser>
          <c:idx val="2"/>
          <c:order val="4"/>
          <c:tx>
            <c:v>EGS-3 lnr</c:v>
          </c:tx>
          <c:spPr>
            <a:ln w="28575">
              <a:noFill/>
            </a:ln>
          </c:spPr>
          <c:marker>
            <c:symbol val="square"/>
            <c:size val="4"/>
            <c:spPr>
              <a:solidFill>
                <a:srgbClr val="9F2A21"/>
              </a:solidFill>
            </c:spPr>
          </c:marker>
          <c:errBars>
            <c:errDir val="y"/>
            <c:errBarType val="both"/>
            <c:errValType val="cust"/>
            <c:plus>
              <c:numRef>
                <c:f>'Matl=f(depth)'!$AH$50</c:f>
                <c:numCache>
                  <c:formatCode>General</c:formatCode>
                  <c:ptCount val="1"/>
                  <c:pt idx="0">
                    <c:v>530.77079055679644</c:v>
                  </c:pt>
                </c:numCache>
              </c:numRef>
            </c:plus>
            <c:minus>
              <c:numRef>
                <c:f>'Matl=f(depth)'!$AH$50</c:f>
                <c:numCache>
                  <c:formatCode>General</c:formatCode>
                  <c:ptCount val="1"/>
                  <c:pt idx="0">
                    <c:v>530.77079055679644</c:v>
                  </c:pt>
                </c:numCache>
              </c:numRef>
            </c:minus>
          </c:errBars>
          <c:xVal>
            <c:numRef>
              <c:f>'Matl=f(depth)'!$AF$50</c:f>
              <c:numCache>
                <c:formatCode>General</c:formatCode>
                <c:ptCount val="1"/>
                <c:pt idx="0">
                  <c:v>6.05</c:v>
                </c:pt>
              </c:numCache>
            </c:numRef>
          </c:xVal>
          <c:yVal>
            <c:numRef>
              <c:f>'Matl=f(depth)'!$AG$50</c:f>
              <c:numCache>
                <c:formatCode>0.0</c:formatCode>
                <c:ptCount val="1"/>
                <c:pt idx="0">
                  <c:v>966.68182382383657</c:v>
                </c:pt>
              </c:numCache>
            </c:numRef>
          </c:yVal>
        </c:ser>
        <c:ser>
          <c:idx val="5"/>
          <c:order val="5"/>
          <c:tx>
            <c:v>GPGE</c:v>
          </c:tx>
          <c:spPr>
            <a:ln w="28575">
              <a:noFill/>
            </a:ln>
          </c:spPr>
          <c:marker>
            <c:symbol val="square"/>
            <c:size val="3"/>
            <c:spPr>
              <a:solidFill>
                <a:srgbClr val="9F2A21"/>
              </a:solidFill>
            </c:spPr>
          </c:marker>
          <c:errBars>
            <c:errDir val="y"/>
            <c:errBarType val="both"/>
            <c:errValType val="cust"/>
            <c:plus>
              <c:numRef>
                <c:f>'Matl=f(depth)'!$Z$57:$Z$59</c:f>
                <c:numCache>
                  <c:formatCode>General</c:formatCode>
                  <c:ptCount val="3"/>
                  <c:pt idx="0">
                    <c:v>17.5</c:v>
                  </c:pt>
                  <c:pt idx="1">
                    <c:v>21.9</c:v>
                  </c:pt>
                  <c:pt idx="2">
                    <c:v>26.3</c:v>
                  </c:pt>
                </c:numCache>
              </c:numRef>
            </c:plus>
            <c:minus>
              <c:numRef>
                <c:f>'Matl=f(depth)'!$Z$57:$Z$59</c:f>
                <c:numCache>
                  <c:formatCode>General</c:formatCode>
                  <c:ptCount val="3"/>
                  <c:pt idx="0">
                    <c:v>17.5</c:v>
                  </c:pt>
                  <c:pt idx="1">
                    <c:v>21.9</c:v>
                  </c:pt>
                  <c:pt idx="2">
                    <c:v>26.3</c:v>
                  </c:pt>
                </c:numCache>
              </c:numRef>
            </c:minus>
          </c:errBars>
          <c:xVal>
            <c:numRef>
              <c:f>'Matl=f(depth)'!$W$57:$W$59</c:f>
              <c:numCache>
                <c:formatCode>0</c:formatCode>
                <c:ptCount val="3"/>
                <c:pt idx="0" formatCode="General">
                  <c:v>4</c:v>
                </c:pt>
                <c:pt idx="1">
                  <c:v>5</c:v>
                </c:pt>
                <c:pt idx="2">
                  <c:v>6</c:v>
                </c:pt>
              </c:numCache>
            </c:numRef>
          </c:xVal>
          <c:yVal>
            <c:numRef>
              <c:f>'Matl=f(depth)'!$X$57:$X$59</c:f>
              <c:numCache>
                <c:formatCode>0.0</c:formatCode>
                <c:ptCount val="3"/>
                <c:pt idx="0">
                  <c:v>73.249048948584658</c:v>
                </c:pt>
                <c:pt idx="1">
                  <c:v>91.56131118573083</c:v>
                </c:pt>
                <c:pt idx="2">
                  <c:v>109.87357342287699</c:v>
                </c:pt>
              </c:numCache>
            </c:numRef>
          </c:yVal>
        </c:ser>
        <c:axId val="163172352"/>
        <c:axId val="163174272"/>
      </c:scatterChart>
      <c:valAx>
        <c:axId val="163172352"/>
        <c:scaling>
          <c:orientation val="minMax"/>
          <c:max val="8"/>
        </c:scaling>
        <c:axPos val="b"/>
        <c:title>
          <c:tx>
            <c:rich>
              <a:bodyPr/>
              <a:lstStyle/>
              <a:p>
                <a:pPr>
                  <a:defRPr sz="1050"/>
                </a:pPr>
                <a:r>
                  <a:rPr lang="en-US" sz="1050"/>
                  <a:t>Well Depth - km</a:t>
                </a:r>
              </a:p>
            </c:rich>
          </c:tx>
          <c:layout>
            <c:manualLayout>
              <c:xMode val="edge"/>
              <c:yMode val="edge"/>
              <c:x val="0.39353976443532057"/>
              <c:y val="0.89285372368101568"/>
            </c:manualLayout>
          </c:layout>
        </c:title>
        <c:numFmt formatCode="General" sourceLinked="1"/>
        <c:majorTickMark val="in"/>
        <c:minorTickMark val="in"/>
        <c:tickLblPos val="nextTo"/>
        <c:crossAx val="163174272"/>
        <c:crosses val="autoZero"/>
        <c:crossBetween val="midCat"/>
        <c:majorUnit val="2"/>
        <c:minorUnit val="1"/>
      </c:valAx>
      <c:valAx>
        <c:axId val="163174272"/>
        <c:scaling>
          <c:orientation val="minMax"/>
          <c:max val="1600"/>
        </c:scaling>
        <c:axPos val="l"/>
        <c:majorGridlines/>
        <c:title>
          <c:tx>
            <c:rich>
              <a:bodyPr/>
              <a:lstStyle/>
              <a:p>
                <a:pPr>
                  <a:defRPr sz="1050"/>
                </a:pPr>
                <a:r>
                  <a:rPr lang="en-US" sz="1050"/>
                  <a:t>Steel</a:t>
                </a:r>
                <a:r>
                  <a:rPr lang="en-US" sz="1050" baseline="0"/>
                  <a:t>  - t</a:t>
                </a:r>
                <a:r>
                  <a:rPr lang="en-US" sz="1050"/>
                  <a:t>onnes/MW</a:t>
                </a:r>
              </a:p>
            </c:rich>
          </c:tx>
        </c:title>
        <c:numFmt formatCode="0.0" sourceLinked="1"/>
        <c:majorTickMark val="none"/>
        <c:minorTickMark val="in"/>
        <c:tickLblPos val="nextTo"/>
        <c:crossAx val="163172352"/>
        <c:crosses val="autoZero"/>
        <c:crossBetween val="midCat"/>
        <c:majorUnit val="400"/>
        <c:minorUnit val="200"/>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25400">
          <a:noFill/>
        </a:ln>
      </c:spPr>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lineMarker"/>
        <c:ser>
          <c:idx val="0"/>
          <c:order val="0"/>
          <c:tx>
            <c:v>EGS-3 lnr</c:v>
          </c:tx>
          <c:spPr>
            <a:ln w="28575">
              <a:noFill/>
            </a:ln>
          </c:spPr>
          <c:marker>
            <c:symbol val="square"/>
            <c:size val="4"/>
            <c:spPr>
              <a:solidFill>
                <a:srgbClr val="C00000"/>
              </a:solidFill>
            </c:spPr>
          </c:marker>
          <c:errBars>
            <c:errDir val="y"/>
            <c:errBarType val="both"/>
            <c:errValType val="cust"/>
            <c:plus>
              <c:numRef>
                <c:f>'Matl=f(depth)'!$AI$79</c:f>
                <c:numCache>
                  <c:formatCode>General</c:formatCode>
                  <c:ptCount val="1"/>
                  <c:pt idx="0">
                    <c:v>138991.52506494161</c:v>
                  </c:pt>
                </c:numCache>
              </c:numRef>
            </c:plus>
            <c:minus>
              <c:numRef>
                <c:f>'Matl=f(depth)'!$AI$79</c:f>
                <c:numCache>
                  <c:formatCode>General</c:formatCode>
                  <c:ptCount val="1"/>
                  <c:pt idx="0">
                    <c:v>138991.52506494161</c:v>
                  </c:pt>
                </c:numCache>
              </c:numRef>
            </c:minus>
          </c:errBars>
          <c:xVal>
            <c:numRef>
              <c:f>'Matl=f(depth)'!$AG$79</c:f>
              <c:numCache>
                <c:formatCode>General</c:formatCode>
                <c:ptCount val="1"/>
                <c:pt idx="0">
                  <c:v>6.05</c:v>
                </c:pt>
              </c:numCache>
            </c:numRef>
          </c:xVal>
          <c:yVal>
            <c:numRef>
              <c:f>'Matl=f(depth)'!$AH$79</c:f>
              <c:numCache>
                <c:formatCode>0.0</c:formatCode>
                <c:ptCount val="1"/>
                <c:pt idx="0">
                  <c:v>253142.37960398212</c:v>
                </c:pt>
              </c:numCache>
            </c:numRef>
          </c:yVal>
        </c:ser>
        <c:ser>
          <c:idx val="1"/>
          <c:order val="1"/>
          <c:tx>
            <c:v>EGS-2 lnr</c:v>
          </c:tx>
          <c:spPr>
            <a:ln w="28575">
              <a:noFill/>
            </a:ln>
          </c:spPr>
          <c:marker>
            <c:symbol val="square"/>
            <c:size val="4"/>
            <c:spPr>
              <a:solidFill>
                <a:srgbClr val="000099"/>
              </a:solidFill>
            </c:spPr>
          </c:marker>
          <c:errBars>
            <c:errDir val="y"/>
            <c:errBarType val="both"/>
            <c:errValType val="cust"/>
            <c:plus>
              <c:numRef>
                <c:f>'Matl=f(depth)'!$AI$77:$AI$78</c:f>
                <c:numCache>
                  <c:formatCode>General</c:formatCode>
                  <c:ptCount val="2"/>
                  <c:pt idx="0">
                    <c:v>100188.3626294689</c:v>
                  </c:pt>
                  <c:pt idx="1">
                    <c:v>126121.93941078027</c:v>
                  </c:pt>
                </c:numCache>
              </c:numRef>
            </c:plus>
            <c:minus>
              <c:numRef>
                <c:f>'Matl=f(depth)'!$AI$77:$AI$78</c:f>
                <c:numCache>
                  <c:formatCode>General</c:formatCode>
                  <c:ptCount val="2"/>
                  <c:pt idx="0">
                    <c:v>100188.3626294689</c:v>
                  </c:pt>
                  <c:pt idx="1">
                    <c:v>126121.93941078027</c:v>
                  </c:pt>
                </c:numCache>
              </c:numRef>
            </c:minus>
          </c:errBars>
          <c:xVal>
            <c:numRef>
              <c:f>'Matl=f(depth)'!$AG$77:$AG$78</c:f>
              <c:numCache>
                <c:formatCode>General</c:formatCode>
                <c:ptCount val="2"/>
                <c:pt idx="0">
                  <c:v>5.05</c:v>
                </c:pt>
                <c:pt idx="1">
                  <c:v>5.95</c:v>
                </c:pt>
              </c:numCache>
            </c:numRef>
          </c:xVal>
          <c:yVal>
            <c:numRef>
              <c:f>'Matl=f(depth)'!$AH$77:$AH$78</c:f>
              <c:numCache>
                <c:formatCode>0.0</c:formatCode>
                <c:ptCount val="2"/>
                <c:pt idx="0">
                  <c:v>190405.45559379205</c:v>
                </c:pt>
                <c:pt idx="1">
                  <c:v>229703.27038139119</c:v>
                </c:pt>
              </c:numCache>
            </c:numRef>
          </c:yVal>
        </c:ser>
        <c:ser>
          <c:idx val="2"/>
          <c:order val="2"/>
          <c:tx>
            <c:v>EGS-1 lnr</c:v>
          </c:tx>
          <c:spPr>
            <a:ln w="28575">
              <a:noFill/>
            </a:ln>
          </c:spPr>
          <c:marker>
            <c:symbol val="square"/>
            <c:size val="4"/>
            <c:spPr>
              <a:solidFill>
                <a:schemeClr val="accent4">
                  <a:lumMod val="75000"/>
                </a:schemeClr>
              </a:solidFill>
            </c:spPr>
          </c:marker>
          <c:errBars>
            <c:errDir val="y"/>
            <c:errBarType val="both"/>
            <c:errValType val="cust"/>
            <c:plus>
              <c:numRef>
                <c:f>'Matl=f(depth)'!$AI$75:$AI$76</c:f>
                <c:numCache>
                  <c:formatCode>General</c:formatCode>
                  <c:ptCount val="2"/>
                  <c:pt idx="0">
                    <c:v>53537.170756142317</c:v>
                  </c:pt>
                  <c:pt idx="1">
                    <c:v>100188.36262946896</c:v>
                  </c:pt>
                </c:numCache>
              </c:numRef>
            </c:plus>
            <c:minus>
              <c:numRef>
                <c:f>'Matl=f(depth)'!$AI$75:$AI$76</c:f>
                <c:numCache>
                  <c:formatCode>General</c:formatCode>
                  <c:ptCount val="2"/>
                  <c:pt idx="0">
                    <c:v>53537.170756142317</c:v>
                  </c:pt>
                  <c:pt idx="1">
                    <c:v>100188.36262946896</c:v>
                  </c:pt>
                </c:numCache>
              </c:numRef>
            </c:minus>
          </c:errBars>
          <c:xVal>
            <c:numRef>
              <c:f>'Matl=f(depth)'!$AG$75:$AG$76</c:f>
              <c:numCache>
                <c:formatCode>General</c:formatCode>
                <c:ptCount val="2"/>
                <c:pt idx="0">
                  <c:v>4</c:v>
                </c:pt>
                <c:pt idx="1">
                  <c:v>4.95</c:v>
                </c:pt>
              </c:numCache>
            </c:numRef>
          </c:xVal>
          <c:yVal>
            <c:numRef>
              <c:f>'Matl=f(depth)'!$AH$75:$AH$76</c:f>
              <c:numCache>
                <c:formatCode>0.0</c:formatCode>
                <c:ptCount val="2"/>
                <c:pt idx="0">
                  <c:v>104930.71713855982</c:v>
                </c:pt>
                <c:pt idx="1">
                  <c:v>190405.45559379205</c:v>
                </c:pt>
              </c:numCache>
            </c:numRef>
          </c:yVal>
        </c:ser>
        <c:ser>
          <c:idx val="3"/>
          <c:order val="3"/>
          <c:tx>
            <c:v>HT-Binary</c:v>
          </c:tx>
          <c:spPr>
            <a:ln w="28575">
              <a:noFill/>
            </a:ln>
          </c:spPr>
          <c:marker>
            <c:symbol val="triangle"/>
            <c:size val="4"/>
            <c:spPr>
              <a:solidFill>
                <a:srgbClr val="C00000"/>
              </a:solidFill>
            </c:spPr>
          </c:marker>
          <c:errBars>
            <c:errDir val="y"/>
            <c:errBarType val="both"/>
            <c:errValType val="percentage"/>
            <c:val val="22"/>
          </c:errBars>
          <c:xVal>
            <c:numRef>
              <c:f>'Matl=f(depth)'!$X$75:$X$78</c:f>
              <c:numCache>
                <c:formatCode>General</c:formatCode>
                <c:ptCount val="4"/>
                <c:pt idx="0">
                  <c:v>0.67</c:v>
                </c:pt>
                <c:pt idx="1">
                  <c:v>1</c:v>
                </c:pt>
                <c:pt idx="2">
                  <c:v>1.5</c:v>
                </c:pt>
                <c:pt idx="3">
                  <c:v>1.95</c:v>
                </c:pt>
              </c:numCache>
            </c:numRef>
          </c:xVal>
          <c:yVal>
            <c:numRef>
              <c:f>'Matl=f(depth)'!$Y$75:$Y$78</c:f>
              <c:numCache>
                <c:formatCode>0</c:formatCode>
                <c:ptCount val="4"/>
                <c:pt idx="0">
                  <c:v>24714.654404542296</c:v>
                </c:pt>
                <c:pt idx="1">
                  <c:v>31100.559270602273</c:v>
                </c:pt>
                <c:pt idx="2">
                  <c:v>38975.682146165076</c:v>
                </c:pt>
                <c:pt idx="3">
                  <c:v>46260.646613199227</c:v>
                </c:pt>
              </c:numCache>
            </c:numRef>
          </c:yVal>
        </c:ser>
        <c:ser>
          <c:idx val="4"/>
          <c:order val="4"/>
          <c:tx>
            <c:v>HT-Flash</c:v>
          </c:tx>
          <c:spPr>
            <a:ln w="28575">
              <a:noFill/>
            </a:ln>
          </c:spPr>
          <c:marker>
            <c:symbol val="circle"/>
            <c:size val="4"/>
            <c:spPr>
              <a:noFill/>
            </c:spPr>
          </c:marker>
          <c:errBars>
            <c:errDir val="y"/>
            <c:errBarType val="both"/>
            <c:errValType val="cust"/>
            <c:plus>
              <c:numRef>
                <c:f>'Matl=f(depth)'!$AD$75:$AD$79</c:f>
                <c:numCache>
                  <c:formatCode>General</c:formatCode>
                  <c:ptCount val="5"/>
                  <c:pt idx="0">
                    <c:v>9976.0557351227162</c:v>
                  </c:pt>
                  <c:pt idx="1">
                    <c:v>12073.443733140064</c:v>
                  </c:pt>
                  <c:pt idx="2">
                    <c:v>12073.443733140135</c:v>
                  </c:pt>
                  <c:pt idx="3">
                    <c:v>14193.323238741441</c:v>
                  </c:pt>
                  <c:pt idx="4">
                    <c:v>16289.212141831149</c:v>
                  </c:pt>
                </c:numCache>
              </c:numRef>
            </c:plus>
            <c:minus>
              <c:numRef>
                <c:f>'Matl=f(depth)'!$AD$75:$AD$79</c:f>
                <c:numCache>
                  <c:formatCode>General</c:formatCode>
                  <c:ptCount val="5"/>
                  <c:pt idx="0">
                    <c:v>9976.0557351227162</c:v>
                  </c:pt>
                  <c:pt idx="1">
                    <c:v>12073.443733140064</c:v>
                  </c:pt>
                  <c:pt idx="2">
                    <c:v>12073.443733140135</c:v>
                  </c:pt>
                  <c:pt idx="3">
                    <c:v>14193.323238741441</c:v>
                  </c:pt>
                  <c:pt idx="4">
                    <c:v>16289.212141831149</c:v>
                  </c:pt>
                </c:numCache>
              </c:numRef>
            </c:minus>
          </c:errBars>
          <c:xVal>
            <c:numRef>
              <c:f>'Matl=f(depth)'!$AB$75:$AB$79</c:f>
              <c:numCache>
                <c:formatCode>General</c:formatCode>
                <c:ptCount val="5"/>
                <c:pt idx="0">
                  <c:v>1.5</c:v>
                </c:pt>
                <c:pt idx="1">
                  <c:v>2</c:v>
                </c:pt>
                <c:pt idx="2">
                  <c:v>2.0499999999999998</c:v>
                </c:pt>
                <c:pt idx="3">
                  <c:v>2.5</c:v>
                </c:pt>
                <c:pt idx="4">
                  <c:v>3</c:v>
                </c:pt>
              </c:numCache>
            </c:numRef>
          </c:xVal>
          <c:yVal>
            <c:numRef>
              <c:f>'Matl=f(depth)'!$AC$75:$AC$79</c:f>
              <c:numCache>
                <c:formatCode>0</c:formatCode>
                <c:ptCount val="5"/>
                <c:pt idx="0">
                  <c:v>31322.474770494191</c:v>
                </c:pt>
                <c:pt idx="1">
                  <c:v>38339.420569003887</c:v>
                </c:pt>
                <c:pt idx="2">
                  <c:v>38339.420569003887</c:v>
                </c:pt>
                <c:pt idx="3">
                  <c:v>45207.362017245796</c:v>
                </c:pt>
                <c:pt idx="4">
                  <c:v>52038.12229132939</c:v>
                </c:pt>
              </c:numCache>
            </c:numRef>
          </c:yVal>
        </c:ser>
        <c:ser>
          <c:idx val="5"/>
          <c:order val="5"/>
          <c:tx>
            <c:v>GPGE</c:v>
          </c:tx>
          <c:spPr>
            <a:ln w="28575">
              <a:noFill/>
            </a:ln>
          </c:spPr>
          <c:marker>
            <c:symbol val="square"/>
            <c:size val="5"/>
            <c:spPr>
              <a:solidFill>
                <a:srgbClr val="9F2A21"/>
              </a:solidFill>
            </c:spPr>
          </c:marker>
          <c:xVal>
            <c:numRef>
              <c:f>'Matl=f(depth)'!$X$84:$X$86</c:f>
              <c:numCache>
                <c:formatCode>General</c:formatCode>
                <c:ptCount val="3"/>
                <c:pt idx="0" formatCode="0">
                  <c:v>4</c:v>
                </c:pt>
                <c:pt idx="1">
                  <c:v>5</c:v>
                </c:pt>
                <c:pt idx="2">
                  <c:v>6</c:v>
                </c:pt>
              </c:numCache>
            </c:numRef>
          </c:xVal>
          <c:yVal>
            <c:numRef>
              <c:f>'Matl=f(depth)'!$Y$84:$Y$86</c:f>
              <c:numCache>
                <c:formatCode>#,##0</c:formatCode>
                <c:ptCount val="3"/>
                <c:pt idx="0">
                  <c:v>38508.382332792746</c:v>
                </c:pt>
                <c:pt idx="1">
                  <c:v>48645.972432509152</c:v>
                </c:pt>
                <c:pt idx="2">
                  <c:v>58956.950253171912</c:v>
                </c:pt>
              </c:numCache>
            </c:numRef>
          </c:yVal>
        </c:ser>
        <c:axId val="162630656"/>
        <c:axId val="162637312"/>
      </c:scatterChart>
      <c:valAx>
        <c:axId val="162630656"/>
        <c:scaling>
          <c:orientation val="minMax"/>
          <c:max val="8"/>
        </c:scaling>
        <c:axPos val="b"/>
        <c:title>
          <c:tx>
            <c:rich>
              <a:bodyPr/>
              <a:lstStyle/>
              <a:p>
                <a:pPr>
                  <a:defRPr sz="1050"/>
                </a:pPr>
                <a:r>
                  <a:rPr lang="en-US" sz="1050"/>
                  <a:t>Well Depth - km</a:t>
                </a:r>
              </a:p>
            </c:rich>
          </c:tx>
        </c:title>
        <c:numFmt formatCode="General" sourceLinked="1"/>
        <c:majorTickMark val="none"/>
        <c:tickLblPos val="nextTo"/>
        <c:crossAx val="162637312"/>
        <c:crosses val="autoZero"/>
        <c:crossBetween val="midCat"/>
        <c:majorUnit val="2"/>
        <c:minorUnit val="1"/>
      </c:valAx>
      <c:valAx>
        <c:axId val="162637312"/>
        <c:scaling>
          <c:orientation val="minMax"/>
          <c:max val="500000"/>
        </c:scaling>
        <c:axPos val="l"/>
        <c:majorGridlines/>
        <c:title>
          <c:tx>
            <c:rich>
              <a:bodyPr/>
              <a:lstStyle/>
              <a:p>
                <a:pPr>
                  <a:defRPr sz="1050"/>
                </a:pPr>
                <a:r>
                  <a:rPr lang="en-US" sz="1050"/>
                  <a:t>Diesel Fuel - 1000 Liters/MW</a:t>
                </a:r>
              </a:p>
            </c:rich>
          </c:tx>
        </c:title>
        <c:numFmt formatCode="0.0" sourceLinked="1"/>
        <c:majorTickMark val="none"/>
        <c:tickLblPos val="nextTo"/>
        <c:crossAx val="162630656"/>
        <c:crosses val="autoZero"/>
        <c:crossBetween val="midCat"/>
        <c:majorUnit val="100000"/>
        <c:minorUnit val="50000"/>
        <c:dispUnits>
          <c:builtInUnit val="thousands"/>
        </c:dispUnits>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lineMarker"/>
        <c:ser>
          <c:idx val="0"/>
          <c:order val="0"/>
          <c:tx>
            <c:v>HT-B</c:v>
          </c:tx>
          <c:spPr>
            <a:ln w="28575">
              <a:noFill/>
            </a:ln>
          </c:spPr>
          <c:marker>
            <c:symbol val="diamond"/>
            <c:size val="3"/>
          </c:marker>
          <c:errBars>
            <c:errDir val="y"/>
            <c:errBarType val="both"/>
            <c:errValType val="percentage"/>
            <c:val val="22"/>
          </c:errBars>
          <c:xVal>
            <c:numRef>
              <c:f>'Matl=f(depth)'!$X$93:$X$96</c:f>
              <c:numCache>
                <c:formatCode>General</c:formatCode>
                <c:ptCount val="4"/>
                <c:pt idx="0">
                  <c:v>0.67</c:v>
                </c:pt>
                <c:pt idx="1">
                  <c:v>1</c:v>
                </c:pt>
                <c:pt idx="2">
                  <c:v>1.5</c:v>
                </c:pt>
                <c:pt idx="3">
                  <c:v>1.95</c:v>
                </c:pt>
              </c:numCache>
            </c:numRef>
          </c:xVal>
          <c:yVal>
            <c:numRef>
              <c:f>'Matl=f(depth)'!$Y$93:$Y$96</c:f>
              <c:numCache>
                <c:formatCode>0</c:formatCode>
                <c:ptCount val="4"/>
                <c:pt idx="0">
                  <c:v>410575.78798392811</c:v>
                </c:pt>
                <c:pt idx="1">
                  <c:v>534482.16626806802</c:v>
                </c:pt>
                <c:pt idx="2">
                  <c:v>696771.76284710877</c:v>
                </c:pt>
                <c:pt idx="3">
                  <c:v>847342.76559784054</c:v>
                </c:pt>
              </c:numCache>
            </c:numRef>
          </c:yVal>
        </c:ser>
        <c:ser>
          <c:idx val="1"/>
          <c:order val="1"/>
          <c:tx>
            <c:v>HT-F</c:v>
          </c:tx>
          <c:spPr>
            <a:ln w="28575">
              <a:noFill/>
            </a:ln>
          </c:spPr>
          <c:marker>
            <c:symbol val="square"/>
            <c:size val="3"/>
          </c:marker>
          <c:errBars>
            <c:errDir val="y"/>
            <c:errBarType val="both"/>
            <c:errValType val="percentage"/>
            <c:val val="30"/>
          </c:errBars>
          <c:xVal>
            <c:numRef>
              <c:f>'Matl=f(depth)'!$AB$93:$AB$97</c:f>
              <c:numCache>
                <c:formatCode>General</c:formatCode>
                <c:ptCount val="5"/>
                <c:pt idx="0">
                  <c:v>1.5</c:v>
                </c:pt>
                <c:pt idx="1">
                  <c:v>2</c:v>
                </c:pt>
                <c:pt idx="2">
                  <c:v>2.0499999999999998</c:v>
                </c:pt>
                <c:pt idx="3">
                  <c:v>2.5</c:v>
                </c:pt>
                <c:pt idx="4">
                  <c:v>3</c:v>
                </c:pt>
              </c:numCache>
            </c:numRef>
          </c:xVal>
          <c:yVal>
            <c:numRef>
              <c:f>'Matl=f(depth)'!$AC$93:$AC$97</c:f>
              <c:numCache>
                <c:formatCode>#,##0</c:formatCode>
                <c:ptCount val="5"/>
                <c:pt idx="0">
                  <c:v>559954.68868833419</c:v>
                </c:pt>
                <c:pt idx="1">
                  <c:v>702251.97948463808</c:v>
                </c:pt>
                <c:pt idx="2">
                  <c:v>1050895.1896752443</c:v>
                </c:pt>
                <c:pt idx="3">
                  <c:v>1351128.2916361073</c:v>
                </c:pt>
                <c:pt idx="4">
                  <c:v>1516173.1367231584</c:v>
                </c:pt>
              </c:numCache>
            </c:numRef>
          </c:yVal>
        </c:ser>
        <c:ser>
          <c:idx val="2"/>
          <c:order val="2"/>
          <c:tx>
            <c:v>EGS</c:v>
          </c:tx>
          <c:spPr>
            <a:ln w="28575">
              <a:noFill/>
            </a:ln>
          </c:spPr>
          <c:errBars>
            <c:errDir val="y"/>
            <c:errBarType val="both"/>
            <c:errValType val="percentage"/>
            <c:val val="52"/>
          </c:errBars>
          <c:xVal>
            <c:numRef>
              <c:f>'Matl=f(depth)'!$AG$93:$AG$97</c:f>
              <c:numCache>
                <c:formatCode>General</c:formatCode>
                <c:ptCount val="5"/>
                <c:pt idx="0">
                  <c:v>4</c:v>
                </c:pt>
                <c:pt idx="1">
                  <c:v>4.95</c:v>
                </c:pt>
                <c:pt idx="2">
                  <c:v>5.05</c:v>
                </c:pt>
                <c:pt idx="3">
                  <c:v>5.95</c:v>
                </c:pt>
                <c:pt idx="4">
                  <c:v>6.05</c:v>
                </c:pt>
              </c:numCache>
            </c:numRef>
          </c:xVal>
          <c:yVal>
            <c:numRef>
              <c:f>'Matl=f(depth)'!$AH$93:$AH$97</c:f>
              <c:numCache>
                <c:formatCode>#,##0</c:formatCode>
                <c:ptCount val="5"/>
                <c:pt idx="0">
                  <c:v>1540199.1786128995</c:v>
                </c:pt>
                <c:pt idx="1">
                  <c:v>1831660.6162981831</c:v>
                </c:pt>
                <c:pt idx="2">
                  <c:v>2668788.7140195812</c:v>
                </c:pt>
                <c:pt idx="3">
                  <c:v>3033131.4318018281</c:v>
                </c:pt>
                <c:pt idx="4">
                  <c:v>5453461.1001685811</c:v>
                </c:pt>
              </c:numCache>
            </c:numRef>
          </c:yVal>
        </c:ser>
        <c:ser>
          <c:idx val="3"/>
          <c:order val="3"/>
          <c:tx>
            <c:v>GPGE-gf</c:v>
          </c:tx>
          <c:spPr>
            <a:ln w="28575">
              <a:noFill/>
            </a:ln>
          </c:spPr>
          <c:marker>
            <c:symbol val="circle"/>
            <c:size val="3"/>
          </c:marker>
          <c:errBars>
            <c:errDir val="y"/>
            <c:errBarType val="both"/>
            <c:errValType val="cust"/>
            <c:plus>
              <c:numRef>
                <c:f>'Matl=f(depth)'!$AB$102:$AB$104</c:f>
                <c:numCache>
                  <c:formatCode>General</c:formatCode>
                  <c:ptCount val="3"/>
                  <c:pt idx="0">
                    <c:v>70705.221154899744</c:v>
                  </c:pt>
                  <c:pt idx="1">
                    <c:v>88656.287665729236</c:v>
                  </c:pt>
                  <c:pt idx="2">
                    <c:v>106241.00588041934</c:v>
                  </c:pt>
                </c:numCache>
              </c:numRef>
            </c:plus>
            <c:minus>
              <c:numRef>
                <c:f>'Matl=f(depth)'!$AA$102:$AA$104</c:f>
                <c:numCache>
                  <c:formatCode>General</c:formatCode>
                  <c:ptCount val="3"/>
                  <c:pt idx="0">
                    <c:v>101405.08890070295</c:v>
                  </c:pt>
                  <c:pt idx="1">
                    <c:v>127150.42235217674</c:v>
                  </c:pt>
                  <c:pt idx="2">
                    <c:v>152370.34083525313</c:v>
                  </c:pt>
                </c:numCache>
              </c:numRef>
            </c:minus>
          </c:errBars>
          <c:xVal>
            <c:numRef>
              <c:f>'Matl=f(depth)'!$X$102:$X$104</c:f>
              <c:numCache>
                <c:formatCode>General</c:formatCode>
                <c:ptCount val="3"/>
                <c:pt idx="0" formatCode="0">
                  <c:v>4</c:v>
                </c:pt>
                <c:pt idx="1">
                  <c:v>5</c:v>
                </c:pt>
                <c:pt idx="2">
                  <c:v>6</c:v>
                </c:pt>
              </c:numCache>
            </c:numRef>
          </c:xVal>
          <c:yVal>
            <c:numRef>
              <c:f>'Matl=f(depth)'!$Y$102:$Y$104</c:f>
              <c:numCache>
                <c:formatCode>#,##0</c:formatCode>
                <c:ptCount val="3"/>
                <c:pt idx="0">
                  <c:v>349523.9234449761</c:v>
                </c:pt>
                <c:pt idx="1">
                  <c:v>438263.15789473685</c:v>
                </c:pt>
                <c:pt idx="2">
                  <c:v>525191.38755980867</c:v>
                </c:pt>
              </c:numCache>
            </c:numRef>
          </c:yVal>
        </c:ser>
        <c:axId val="163403264"/>
        <c:axId val="163405184"/>
      </c:scatterChart>
      <c:valAx>
        <c:axId val="163403264"/>
        <c:scaling>
          <c:orientation val="minMax"/>
        </c:scaling>
        <c:axPos val="b"/>
        <c:title>
          <c:tx>
            <c:rich>
              <a:bodyPr/>
              <a:lstStyle/>
              <a:p>
                <a:pPr>
                  <a:defRPr/>
                </a:pPr>
                <a:r>
                  <a:rPr lang="en-US"/>
                  <a:t>Depth - km</a:t>
                </a:r>
              </a:p>
            </c:rich>
          </c:tx>
        </c:title>
        <c:numFmt formatCode="General" sourceLinked="1"/>
        <c:majorTickMark val="none"/>
        <c:tickLblPos val="nextTo"/>
        <c:crossAx val="163405184"/>
        <c:crosses val="autoZero"/>
        <c:crossBetween val="midCat"/>
      </c:valAx>
      <c:valAx>
        <c:axId val="163405184"/>
        <c:scaling>
          <c:orientation val="minMax"/>
          <c:max val="10000000"/>
        </c:scaling>
        <c:axPos val="l"/>
        <c:majorGridlines/>
        <c:title>
          <c:tx>
            <c:rich>
              <a:bodyPr/>
              <a:lstStyle/>
              <a:p>
                <a:pPr>
                  <a:defRPr/>
                </a:pPr>
                <a:r>
                  <a:rPr lang="en-US"/>
                  <a:t> Water - 1000 liters/MW</a:t>
                </a:r>
              </a:p>
            </c:rich>
          </c:tx>
        </c:title>
        <c:numFmt formatCode="#,##0" sourceLinked="0"/>
        <c:majorTickMark val="in"/>
        <c:minorTickMark val="in"/>
        <c:tickLblPos val="nextTo"/>
        <c:crossAx val="163403264"/>
        <c:crosses val="autoZero"/>
        <c:crossBetween val="midCat"/>
        <c:majorUnit val="2000000"/>
        <c:minorUnit val="1000000"/>
        <c:dispUnits>
          <c:builtInUnit val="thousands"/>
        </c:dispUnits>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7619</xdr:colOff>
      <xdr:row>7</xdr:row>
      <xdr:rowOff>85725</xdr:rowOff>
    </xdr:from>
    <xdr:to>
      <xdr:col>21</xdr:col>
      <xdr:colOff>381000</xdr:colOff>
      <xdr:row>31</xdr:row>
      <xdr:rowOff>160020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xdr:colOff>
      <xdr:row>33</xdr:row>
      <xdr:rowOff>127635</xdr:rowOff>
    </xdr:from>
    <xdr:to>
      <xdr:col>21</xdr:col>
      <xdr:colOff>167640</xdr:colOff>
      <xdr:row>52</xdr:row>
      <xdr:rowOff>68580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7620</xdr:colOff>
      <xdr:row>60</xdr:row>
      <xdr:rowOff>81916</xdr:rowOff>
    </xdr:from>
    <xdr:to>
      <xdr:col>21</xdr:col>
      <xdr:colOff>15240</xdr:colOff>
      <xdr:row>78</xdr:row>
      <xdr:rowOff>99060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17144</xdr:colOff>
      <xdr:row>86</xdr:row>
      <xdr:rowOff>32385</xdr:rowOff>
    </xdr:from>
    <xdr:to>
      <xdr:col>21</xdr:col>
      <xdr:colOff>182880</xdr:colOff>
      <xdr:row>103</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gonne_Geothrm&amp;Other_Electricity_LCI_data_4_OpenE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Matrl_per_MW data"/>
      <sheetName val="Matrl data_coprod"/>
      <sheetName val="Well_Matl=f(depth)"/>
      <sheetName val="Plant Material intensity graphs"/>
      <sheetName val="Overview energy&amp;GHG charts"/>
      <sheetName val="Epc &amp; GHGpc vs depth"/>
      <sheetName val="Epc &amp; GHGpc vs depth w explr"/>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sheetPr>
    <tabColor theme="7" tint="-0.499984740745262"/>
  </sheetPr>
  <dimension ref="A1:P74"/>
  <sheetViews>
    <sheetView workbookViewId="0">
      <selection activeCell="A14" sqref="A14"/>
    </sheetView>
  </sheetViews>
  <sheetFormatPr defaultRowHeight="14.4"/>
  <cols>
    <col min="1" max="1" width="9" customWidth="1"/>
    <col min="16" max="16" width="8.33203125" customWidth="1"/>
  </cols>
  <sheetData>
    <row r="1" spans="1:12" ht="16.2" thickBot="1">
      <c r="C1" s="564" t="s">
        <v>164</v>
      </c>
      <c r="D1" s="565"/>
      <c r="E1" s="565"/>
      <c r="F1" s="565"/>
      <c r="G1" s="565"/>
      <c r="H1" s="565"/>
      <c r="I1" s="566"/>
    </row>
    <row r="2" spans="1:12" s="365" customFormat="1" ht="16.2" thickBot="1">
      <c r="C2" s="368"/>
      <c r="D2" s="368"/>
      <c r="E2" s="368"/>
      <c r="F2" s="368"/>
      <c r="G2" s="368"/>
      <c r="H2" s="368"/>
      <c r="I2" s="368"/>
    </row>
    <row r="3" spans="1:12" s="365" customFormat="1" ht="15" thickBot="1">
      <c r="A3" s="349"/>
      <c r="B3" s="349"/>
      <c r="C3" s="575" t="s">
        <v>210</v>
      </c>
      <c r="D3" s="576"/>
      <c r="E3" s="576"/>
      <c r="F3" s="576"/>
      <c r="G3" s="576"/>
      <c r="H3" s="576"/>
      <c r="I3" s="577"/>
      <c r="J3" s="349"/>
      <c r="K3" s="349"/>
    </row>
    <row r="4" spans="1:12" ht="15" customHeight="1">
      <c r="A4" s="591" t="s">
        <v>212</v>
      </c>
      <c r="B4" s="592"/>
      <c r="C4" s="592"/>
      <c r="D4" s="592"/>
      <c r="E4" s="592"/>
      <c r="F4" s="592"/>
      <c r="G4" s="592"/>
      <c r="H4" s="592"/>
      <c r="I4" s="592"/>
      <c r="J4" s="592"/>
      <c r="K4" s="593"/>
      <c r="L4" s="347"/>
    </row>
    <row r="5" spans="1:12">
      <c r="A5" s="594"/>
      <c r="B5" s="579"/>
      <c r="C5" s="579"/>
      <c r="D5" s="579"/>
      <c r="E5" s="579"/>
      <c r="F5" s="579"/>
      <c r="G5" s="579"/>
      <c r="H5" s="579"/>
      <c r="I5" s="579"/>
      <c r="J5" s="579"/>
      <c r="K5" s="580"/>
      <c r="L5" s="347"/>
    </row>
    <row r="6" spans="1:12" s="346" customFormat="1">
      <c r="A6" s="594"/>
      <c r="B6" s="579"/>
      <c r="C6" s="579"/>
      <c r="D6" s="579"/>
      <c r="E6" s="579"/>
      <c r="F6" s="579"/>
      <c r="G6" s="579"/>
      <c r="H6" s="579"/>
      <c r="I6" s="579"/>
      <c r="J6" s="579"/>
      <c r="K6" s="580"/>
      <c r="L6" s="347"/>
    </row>
    <row r="7" spans="1:12" s="346" customFormat="1" ht="16.8" customHeight="1">
      <c r="A7" s="594"/>
      <c r="B7" s="579"/>
      <c r="C7" s="579"/>
      <c r="D7" s="579"/>
      <c r="E7" s="579"/>
      <c r="F7" s="579"/>
      <c r="G7" s="579"/>
      <c r="H7" s="579"/>
      <c r="I7" s="579"/>
      <c r="J7" s="579"/>
      <c r="K7" s="580"/>
      <c r="L7" s="347"/>
    </row>
    <row r="8" spans="1:12" s="365" customFormat="1" ht="16.8" customHeight="1">
      <c r="A8" s="394"/>
      <c r="B8" s="392"/>
      <c r="C8" s="392"/>
      <c r="D8" s="392"/>
      <c r="E8" s="392"/>
      <c r="F8" s="392"/>
      <c r="G8" s="392"/>
      <c r="H8" s="392"/>
      <c r="I8" s="392"/>
      <c r="J8" s="392"/>
      <c r="K8" s="393"/>
      <c r="L8" s="347"/>
    </row>
    <row r="9" spans="1:12" s="45" customFormat="1">
      <c r="A9" s="578" t="s">
        <v>335</v>
      </c>
      <c r="B9" s="581"/>
      <c r="C9" s="581"/>
      <c r="D9" s="581"/>
      <c r="E9" s="581"/>
      <c r="F9" s="581"/>
      <c r="G9" s="581"/>
      <c r="H9" s="581"/>
      <c r="I9" s="581"/>
      <c r="J9" s="581"/>
      <c r="K9" s="582"/>
      <c r="L9" s="373"/>
    </row>
    <row r="10" spans="1:12" s="45" customFormat="1" ht="15.6" customHeight="1">
      <c r="A10" s="578"/>
      <c r="B10" s="581"/>
      <c r="C10" s="581"/>
      <c r="D10" s="581"/>
      <c r="E10" s="581"/>
      <c r="F10" s="581"/>
      <c r="G10" s="581"/>
      <c r="H10" s="581"/>
      <c r="I10" s="581"/>
      <c r="J10" s="581"/>
      <c r="K10" s="582"/>
      <c r="L10" s="373"/>
    </row>
    <row r="11" spans="1:12" s="45" customFormat="1">
      <c r="A11" s="578"/>
      <c r="B11" s="581"/>
      <c r="C11" s="581"/>
      <c r="D11" s="581"/>
      <c r="E11" s="581"/>
      <c r="F11" s="581"/>
      <c r="G11" s="581"/>
      <c r="H11" s="581"/>
      <c r="I11" s="581"/>
      <c r="J11" s="581"/>
      <c r="K11" s="582"/>
      <c r="L11" s="373"/>
    </row>
    <row r="12" spans="1:12" s="45" customFormat="1">
      <c r="A12" s="578"/>
      <c r="B12" s="581"/>
      <c r="C12" s="581"/>
      <c r="D12" s="581"/>
      <c r="E12" s="581"/>
      <c r="F12" s="581"/>
      <c r="G12" s="581"/>
      <c r="H12" s="581"/>
      <c r="I12" s="581"/>
      <c r="J12" s="581"/>
      <c r="K12" s="582"/>
      <c r="L12" s="373"/>
    </row>
    <row r="13" spans="1:12" s="45" customFormat="1" ht="15" customHeight="1">
      <c r="A13" s="578"/>
      <c r="B13" s="581"/>
      <c r="C13" s="581"/>
      <c r="D13" s="581"/>
      <c r="E13" s="581"/>
      <c r="F13" s="581"/>
      <c r="G13" s="581"/>
      <c r="H13" s="581"/>
      <c r="I13" s="581"/>
      <c r="J13" s="581"/>
      <c r="K13" s="582"/>
      <c r="L13" s="373"/>
    </row>
    <row r="14" spans="1:12" s="45" customFormat="1" ht="15" customHeight="1">
      <c r="A14" s="524"/>
      <c r="B14" s="525"/>
      <c r="C14" s="525"/>
      <c r="D14" s="525"/>
      <c r="E14" s="525"/>
      <c r="F14" s="525"/>
      <c r="G14" s="525"/>
      <c r="H14" s="525"/>
      <c r="I14" s="525"/>
      <c r="J14" s="525"/>
      <c r="K14" s="526"/>
      <c r="L14" s="373"/>
    </row>
    <row r="15" spans="1:12" s="45" customFormat="1">
      <c r="A15" s="578" t="s">
        <v>213</v>
      </c>
      <c r="B15" s="581"/>
      <c r="C15" s="581"/>
      <c r="D15" s="581"/>
      <c r="E15" s="581"/>
      <c r="F15" s="581"/>
      <c r="G15" s="581"/>
      <c r="H15" s="581"/>
      <c r="I15" s="581"/>
      <c r="J15" s="581"/>
      <c r="K15" s="582"/>
      <c r="L15" s="373"/>
    </row>
    <row r="16" spans="1:12" s="45" customFormat="1">
      <c r="A16" s="578"/>
      <c r="B16" s="581"/>
      <c r="C16" s="581"/>
      <c r="D16" s="581"/>
      <c r="E16" s="581"/>
      <c r="F16" s="581"/>
      <c r="G16" s="581"/>
      <c r="H16" s="581"/>
      <c r="I16" s="581"/>
      <c r="J16" s="581"/>
      <c r="K16" s="582"/>
      <c r="L16" s="373"/>
    </row>
    <row r="17" spans="1:15" s="45" customFormat="1">
      <c r="A17" s="379"/>
      <c r="B17" s="374"/>
      <c r="C17" s="374"/>
      <c r="D17" s="374"/>
      <c r="E17" s="374"/>
      <c r="F17" s="374"/>
      <c r="G17" s="374"/>
      <c r="H17" s="374"/>
      <c r="I17" s="374"/>
      <c r="J17" s="374"/>
      <c r="K17" s="380"/>
      <c r="L17" s="373"/>
    </row>
    <row r="18" spans="1:15" s="45" customFormat="1" ht="13.95" customHeight="1">
      <c r="A18" s="583" t="s">
        <v>214</v>
      </c>
      <c r="B18" s="584"/>
      <c r="C18" s="584"/>
      <c r="D18" s="584"/>
      <c r="E18" s="584"/>
      <c r="F18" s="584"/>
      <c r="G18" s="584"/>
      <c r="H18" s="584"/>
      <c r="I18" s="584"/>
      <c r="J18" s="584"/>
      <c r="K18" s="585"/>
      <c r="L18" s="373"/>
    </row>
    <row r="19" spans="1:15" s="45" customFormat="1" ht="13.95" customHeight="1">
      <c r="A19" s="381"/>
      <c r="B19" s="372"/>
      <c r="C19" s="372"/>
      <c r="D19" s="372"/>
      <c r="E19" s="372"/>
      <c r="F19" s="372"/>
      <c r="G19" s="372"/>
      <c r="H19" s="372"/>
      <c r="I19" s="372"/>
      <c r="J19" s="372"/>
      <c r="K19" s="382"/>
      <c r="L19" s="373"/>
      <c r="O19" s="45" t="s">
        <v>5</v>
      </c>
    </row>
    <row r="20" spans="1:15" ht="15.6" customHeight="1">
      <c r="A20" s="578" t="s">
        <v>168</v>
      </c>
      <c r="B20" s="579"/>
      <c r="C20" s="579"/>
      <c r="D20" s="579"/>
      <c r="E20" s="579"/>
      <c r="F20" s="579"/>
      <c r="G20" s="579"/>
      <c r="H20" s="579"/>
      <c r="I20" s="579"/>
      <c r="J20" s="579"/>
      <c r="K20" s="580"/>
    </row>
    <row r="21" spans="1:15" ht="15" customHeight="1">
      <c r="A21" s="578" t="s">
        <v>206</v>
      </c>
      <c r="B21" s="581"/>
      <c r="C21" s="581"/>
      <c r="D21" s="581"/>
      <c r="E21" s="581"/>
      <c r="F21" s="581"/>
      <c r="G21" s="581"/>
      <c r="H21" s="581"/>
      <c r="I21" s="581"/>
      <c r="J21" s="369"/>
      <c r="K21" s="383"/>
      <c r="L21" s="347"/>
    </row>
    <row r="22" spans="1:15" ht="15" customHeight="1">
      <c r="A22" s="578" t="s">
        <v>209</v>
      </c>
      <c r="B22" s="581"/>
      <c r="C22" s="581"/>
      <c r="D22" s="581"/>
      <c r="E22" s="581"/>
      <c r="F22" s="581"/>
      <c r="G22" s="581"/>
      <c r="H22" s="581"/>
      <c r="I22" s="581"/>
      <c r="J22" s="581"/>
      <c r="K22" s="582"/>
      <c r="L22" s="347"/>
    </row>
    <row r="23" spans="1:15" s="365" customFormat="1" ht="15" customHeight="1">
      <c r="A23" s="578" t="s">
        <v>207</v>
      </c>
      <c r="B23" s="581"/>
      <c r="C23" s="581"/>
      <c r="D23" s="581"/>
      <c r="E23" s="581"/>
      <c r="F23" s="581"/>
      <c r="G23" s="581"/>
      <c r="H23" s="581"/>
      <c r="I23" s="581"/>
      <c r="J23" s="581"/>
      <c r="K23" s="582"/>
      <c r="L23" s="347"/>
    </row>
    <row r="24" spans="1:15" s="365" customFormat="1" ht="15" customHeight="1">
      <c r="A24" s="379"/>
      <c r="B24" s="581" t="s">
        <v>208</v>
      </c>
      <c r="C24" s="581"/>
      <c r="D24" s="581"/>
      <c r="E24" s="581"/>
      <c r="F24" s="581"/>
      <c r="G24" s="581"/>
      <c r="H24" s="581"/>
      <c r="I24" s="581"/>
      <c r="J24" s="581"/>
      <c r="K24" s="582"/>
      <c r="L24" s="347"/>
    </row>
    <row r="25" spans="1:15" ht="15" customHeight="1">
      <c r="A25" s="384"/>
      <c r="B25" s="562" t="s">
        <v>169</v>
      </c>
      <c r="C25" s="562"/>
      <c r="D25" s="562"/>
      <c r="E25" s="562"/>
      <c r="F25" s="562"/>
      <c r="G25" s="562"/>
      <c r="H25" s="562"/>
      <c r="I25" s="562"/>
      <c r="J25" s="562"/>
      <c r="K25" s="563"/>
      <c r="L25" s="347"/>
    </row>
    <row r="26" spans="1:15" ht="15" customHeight="1">
      <c r="A26" s="384"/>
      <c r="B26" s="614" t="s">
        <v>170</v>
      </c>
      <c r="C26" s="614"/>
      <c r="D26" s="614"/>
      <c r="E26" s="614"/>
      <c r="F26" s="614"/>
      <c r="G26" s="614"/>
      <c r="H26" s="614"/>
      <c r="I26" s="614"/>
      <c r="J26" s="614"/>
      <c r="K26" s="615"/>
      <c r="L26" s="347"/>
    </row>
    <row r="27" spans="1:15" ht="15" customHeight="1">
      <c r="A27" s="384"/>
      <c r="B27" s="562" t="s">
        <v>179</v>
      </c>
      <c r="C27" s="562"/>
      <c r="D27" s="562"/>
      <c r="E27" s="562"/>
      <c r="F27" s="562"/>
      <c r="G27" s="562"/>
      <c r="H27" s="562"/>
      <c r="I27" s="562"/>
      <c r="J27" s="562"/>
      <c r="K27" s="563"/>
      <c r="L27" s="347"/>
    </row>
    <row r="28" spans="1:15" ht="15" customHeight="1">
      <c r="A28" s="385"/>
      <c r="B28" s="562" t="s">
        <v>203</v>
      </c>
      <c r="C28" s="562"/>
      <c r="D28" s="562"/>
      <c r="E28" s="562"/>
      <c r="F28" s="562"/>
      <c r="G28" s="562"/>
      <c r="H28" s="562"/>
      <c r="I28" s="562"/>
      <c r="J28" s="562"/>
      <c r="K28" s="563"/>
      <c r="L28" s="347"/>
    </row>
    <row r="29" spans="1:15" s="346" customFormat="1" ht="15" customHeight="1">
      <c r="A29" s="385"/>
      <c r="B29" s="375"/>
      <c r="C29" s="562" t="s">
        <v>204</v>
      </c>
      <c r="D29" s="562"/>
      <c r="E29" s="562"/>
      <c r="F29" s="562"/>
      <c r="G29" s="562"/>
      <c r="H29" s="562"/>
      <c r="I29" s="562"/>
      <c r="J29" s="562"/>
      <c r="K29" s="563"/>
      <c r="L29" s="347"/>
    </row>
    <row r="30" spans="1:15" s="346" customFormat="1" ht="15" customHeight="1">
      <c r="A30" s="385"/>
      <c r="B30" s="375"/>
      <c r="C30" s="562" t="s">
        <v>205</v>
      </c>
      <c r="D30" s="562"/>
      <c r="E30" s="562"/>
      <c r="F30" s="562"/>
      <c r="G30" s="562"/>
      <c r="H30" s="562"/>
      <c r="I30" s="562"/>
      <c r="J30" s="562"/>
      <c r="K30" s="563"/>
      <c r="L30" s="347"/>
    </row>
    <row r="31" spans="1:15" ht="15" customHeight="1">
      <c r="A31" s="385"/>
      <c r="B31" s="375"/>
      <c r="C31" s="562"/>
      <c r="D31" s="562"/>
      <c r="E31" s="562"/>
      <c r="F31" s="562"/>
      <c r="G31" s="562"/>
      <c r="H31" s="562"/>
      <c r="I31" s="562"/>
      <c r="J31" s="562"/>
      <c r="K31" s="563"/>
      <c r="L31" s="347"/>
    </row>
    <row r="32" spans="1:15" s="365" customFormat="1">
      <c r="A32" s="386"/>
      <c r="B32" s="370"/>
      <c r="C32" s="370"/>
      <c r="D32" s="370"/>
      <c r="E32" s="370"/>
      <c r="F32" s="370"/>
      <c r="G32" s="370"/>
      <c r="H32" s="370"/>
      <c r="I32" s="370"/>
      <c r="J32" s="370"/>
      <c r="K32" s="387"/>
      <c r="L32" s="347"/>
    </row>
    <row r="33" spans="1:16" ht="15" customHeight="1">
      <c r="A33" s="567" t="s">
        <v>211</v>
      </c>
      <c r="B33" s="568"/>
      <c r="C33" s="568"/>
      <c r="D33" s="568"/>
      <c r="E33" s="568"/>
      <c r="F33" s="568"/>
      <c r="G33" s="568"/>
      <c r="H33" s="568"/>
      <c r="I33" s="568"/>
      <c r="J33" s="568"/>
      <c r="K33" s="569"/>
    </row>
    <row r="34" spans="1:16" ht="15" customHeight="1">
      <c r="A34" s="570"/>
      <c r="B34" s="571"/>
      <c r="C34" s="571"/>
      <c r="D34" s="571"/>
      <c r="E34" s="571"/>
      <c r="F34" s="571"/>
      <c r="G34" s="571"/>
      <c r="H34" s="571"/>
      <c r="I34" s="571"/>
      <c r="J34" s="571"/>
      <c r="K34" s="572"/>
    </row>
    <row r="35" spans="1:16" ht="15" customHeight="1">
      <c r="A35" s="570"/>
      <c r="B35" s="571"/>
      <c r="C35" s="571"/>
      <c r="D35" s="571"/>
      <c r="E35" s="571"/>
      <c r="F35" s="571"/>
      <c r="G35" s="571"/>
      <c r="H35" s="571"/>
      <c r="I35" s="571"/>
      <c r="J35" s="571"/>
      <c r="K35" s="572"/>
    </row>
    <row r="36" spans="1:16" ht="15" customHeight="1">
      <c r="A36" s="570"/>
      <c r="B36" s="571"/>
      <c r="C36" s="571"/>
      <c r="D36" s="571"/>
      <c r="E36" s="571"/>
      <c r="F36" s="571"/>
      <c r="G36" s="571"/>
      <c r="H36" s="571"/>
      <c r="I36" s="571"/>
      <c r="J36" s="571"/>
      <c r="K36" s="572"/>
    </row>
    <row r="37" spans="1:16" ht="15" customHeight="1">
      <c r="A37" s="570"/>
      <c r="B37" s="571"/>
      <c r="C37" s="571"/>
      <c r="D37" s="571"/>
      <c r="E37" s="571"/>
      <c r="F37" s="571"/>
      <c r="G37" s="571"/>
      <c r="H37" s="571"/>
      <c r="I37" s="571"/>
      <c r="J37" s="571"/>
      <c r="K37" s="572"/>
    </row>
    <row r="38" spans="1:16" ht="15" customHeight="1">
      <c r="A38" s="570"/>
      <c r="B38" s="571"/>
      <c r="C38" s="571"/>
      <c r="D38" s="571"/>
      <c r="E38" s="571"/>
      <c r="F38" s="571"/>
      <c r="G38" s="571"/>
      <c r="H38" s="571"/>
      <c r="I38" s="571"/>
      <c r="J38" s="571"/>
      <c r="K38" s="572"/>
    </row>
    <row r="39" spans="1:16" ht="15" customHeight="1">
      <c r="A39" s="573" t="s">
        <v>165</v>
      </c>
      <c r="B39" s="574"/>
      <c r="C39" s="548" t="s">
        <v>215</v>
      </c>
      <c r="D39" s="548"/>
      <c r="E39" s="548"/>
      <c r="F39" s="548"/>
      <c r="G39" s="548"/>
      <c r="H39" s="548"/>
      <c r="I39" s="548"/>
      <c r="J39" s="548"/>
      <c r="K39" s="549"/>
    </row>
    <row r="40" spans="1:16">
      <c r="A40" s="388"/>
      <c r="B40" s="343"/>
      <c r="C40" s="548"/>
      <c r="D40" s="548"/>
      <c r="E40" s="548"/>
      <c r="F40" s="548"/>
      <c r="G40" s="548"/>
      <c r="H40" s="548"/>
      <c r="I40" s="548"/>
      <c r="J40" s="548"/>
      <c r="K40" s="549"/>
    </row>
    <row r="41" spans="1:16">
      <c r="A41" s="388"/>
      <c r="B41" s="343"/>
      <c r="C41" s="548"/>
      <c r="D41" s="548"/>
      <c r="E41" s="548"/>
      <c r="F41" s="548"/>
      <c r="G41" s="548"/>
      <c r="H41" s="548"/>
      <c r="I41" s="548"/>
      <c r="J41" s="548"/>
      <c r="K41" s="549"/>
    </row>
    <row r="42" spans="1:16">
      <c r="A42" s="388"/>
      <c r="B42" s="343"/>
      <c r="C42" s="548"/>
      <c r="D42" s="548"/>
      <c r="E42" s="548"/>
      <c r="F42" s="548"/>
      <c r="G42" s="548"/>
      <c r="H42" s="548"/>
      <c r="I42" s="548"/>
      <c r="J42" s="548"/>
      <c r="K42" s="549"/>
    </row>
    <row r="43" spans="1:16" ht="18.75" customHeight="1">
      <c r="A43" s="618" t="s">
        <v>166</v>
      </c>
      <c r="B43" s="619"/>
      <c r="C43" s="548" t="s">
        <v>216</v>
      </c>
      <c r="D43" s="548"/>
      <c r="E43" s="548"/>
      <c r="F43" s="548"/>
      <c r="G43" s="548"/>
      <c r="H43" s="548"/>
      <c r="I43" s="548"/>
      <c r="J43" s="548"/>
      <c r="K43" s="549"/>
    </row>
    <row r="44" spans="1:16" ht="18.75" customHeight="1">
      <c r="A44" s="389"/>
      <c r="B44" s="344"/>
      <c r="C44" s="548"/>
      <c r="D44" s="548"/>
      <c r="E44" s="548"/>
      <c r="F44" s="548"/>
      <c r="G44" s="548"/>
      <c r="H44" s="548"/>
      <c r="I44" s="548"/>
      <c r="J44" s="548"/>
      <c r="K44" s="549"/>
      <c r="P44" s="345"/>
    </row>
    <row r="45" spans="1:16" ht="15" customHeight="1">
      <c r="A45" s="389"/>
      <c r="B45" s="344"/>
      <c r="C45" s="548"/>
      <c r="D45" s="548"/>
      <c r="E45" s="548"/>
      <c r="F45" s="548"/>
      <c r="G45" s="548"/>
      <c r="H45" s="548"/>
      <c r="I45" s="548"/>
      <c r="J45" s="548"/>
      <c r="K45" s="549"/>
    </row>
    <row r="46" spans="1:16" ht="15" customHeight="1">
      <c r="A46" s="560" t="s">
        <v>167</v>
      </c>
      <c r="B46" s="561"/>
      <c r="C46" s="555" t="s">
        <v>190</v>
      </c>
      <c r="D46" s="555"/>
      <c r="E46" s="555"/>
      <c r="F46" s="555"/>
      <c r="G46" s="555"/>
      <c r="H46" s="555"/>
      <c r="I46" s="555"/>
      <c r="J46" s="555"/>
      <c r="K46" s="556"/>
    </row>
    <row r="47" spans="1:16" ht="18.75" customHeight="1">
      <c r="A47" s="390"/>
      <c r="B47" s="376"/>
      <c r="C47" s="555"/>
      <c r="D47" s="555"/>
      <c r="E47" s="555"/>
      <c r="F47" s="555"/>
      <c r="G47" s="555"/>
      <c r="H47" s="555"/>
      <c r="I47" s="555"/>
      <c r="J47" s="555"/>
      <c r="K47" s="556"/>
    </row>
    <row r="48" spans="1:16" ht="15" customHeight="1">
      <c r="A48" s="389"/>
      <c r="B48" s="344"/>
      <c r="C48" s="555" t="s">
        <v>181</v>
      </c>
      <c r="D48" s="555"/>
      <c r="E48" s="555"/>
      <c r="F48" s="555"/>
      <c r="G48" s="555"/>
      <c r="H48" s="555"/>
      <c r="I48" s="555"/>
      <c r="J48" s="555"/>
      <c r="K48" s="556"/>
    </row>
    <row r="49" spans="1:14" ht="15" customHeight="1">
      <c r="A49" s="389"/>
      <c r="B49" s="344"/>
      <c r="C49" s="555"/>
      <c r="D49" s="555"/>
      <c r="E49" s="555"/>
      <c r="F49" s="555"/>
      <c r="G49" s="555"/>
      <c r="H49" s="555"/>
      <c r="I49" s="555"/>
      <c r="J49" s="555"/>
      <c r="K49" s="556"/>
    </row>
    <row r="50" spans="1:14" ht="15" customHeight="1">
      <c r="A50" s="389"/>
      <c r="B50" s="344"/>
      <c r="C50" s="555"/>
      <c r="D50" s="555"/>
      <c r="E50" s="555"/>
      <c r="F50" s="555"/>
      <c r="G50" s="555"/>
      <c r="H50" s="555"/>
      <c r="I50" s="555"/>
      <c r="J50" s="555"/>
      <c r="K50" s="556"/>
    </row>
    <row r="51" spans="1:14" s="365" customFormat="1" ht="35.25" customHeight="1">
      <c r="A51" s="389"/>
      <c r="B51" s="344"/>
      <c r="C51" s="555"/>
      <c r="D51" s="555"/>
      <c r="E51" s="555"/>
      <c r="F51" s="555"/>
      <c r="G51" s="555"/>
      <c r="H51" s="555"/>
      <c r="I51" s="555"/>
      <c r="J51" s="555"/>
      <c r="K51" s="556"/>
    </row>
    <row r="52" spans="1:14" s="365" customFormat="1" ht="15" customHeight="1">
      <c r="A52" s="553"/>
      <c r="B52" s="554"/>
      <c r="C52" s="377"/>
      <c r="D52" s="377"/>
      <c r="E52" s="377"/>
      <c r="F52" s="377"/>
      <c r="G52" s="377"/>
      <c r="H52" s="377"/>
      <c r="I52" s="377"/>
      <c r="J52" s="377"/>
      <c r="K52" s="391"/>
    </row>
    <row r="53" spans="1:14" s="365" customFormat="1" ht="15" customHeight="1">
      <c r="A53" s="557" t="s">
        <v>217</v>
      </c>
      <c r="B53" s="558"/>
      <c r="C53" s="558" t="s">
        <v>218</v>
      </c>
      <c r="D53" s="558"/>
      <c r="E53" s="558"/>
      <c r="F53" s="558"/>
      <c r="G53" s="558"/>
      <c r="H53" s="558"/>
      <c r="I53" s="558"/>
      <c r="J53" s="558"/>
      <c r="K53" s="559"/>
    </row>
    <row r="54" spans="1:14" ht="19.5" customHeight="1">
      <c r="A54" s="389"/>
      <c r="B54" s="344"/>
      <c r="C54" s="558" t="s">
        <v>219</v>
      </c>
      <c r="D54" s="558"/>
      <c r="E54" s="558"/>
      <c r="F54" s="558"/>
      <c r="G54" s="558"/>
      <c r="H54" s="558"/>
      <c r="I54" s="558"/>
      <c r="J54" s="558"/>
      <c r="K54" s="559"/>
    </row>
    <row r="55" spans="1:14" s="365" customFormat="1" ht="19.5" customHeight="1">
      <c r="A55" s="547" t="s">
        <v>241</v>
      </c>
      <c r="B55" s="548"/>
      <c r="C55" s="548"/>
      <c r="D55" s="548"/>
      <c r="E55" s="548"/>
      <c r="F55" s="548"/>
      <c r="G55" s="548"/>
      <c r="H55" s="548"/>
      <c r="I55" s="548"/>
      <c r="J55" s="548"/>
      <c r="K55" s="549"/>
    </row>
    <row r="56" spans="1:14" ht="15" customHeight="1" thickBot="1">
      <c r="A56" s="550"/>
      <c r="B56" s="551"/>
      <c r="C56" s="551"/>
      <c r="D56" s="551"/>
      <c r="E56" s="551"/>
      <c r="F56" s="551"/>
      <c r="G56" s="551"/>
      <c r="H56" s="551"/>
      <c r="I56" s="551"/>
      <c r="J56" s="551"/>
      <c r="K56" s="552"/>
    </row>
    <row r="57" spans="1:14" ht="15" thickBot="1">
      <c r="A57" s="348"/>
      <c r="B57" s="349"/>
      <c r="C57" s="349"/>
      <c r="D57" s="349"/>
      <c r="E57" s="349"/>
      <c r="F57" s="349"/>
      <c r="G57" s="349"/>
      <c r="H57" s="349"/>
      <c r="I57" s="349"/>
      <c r="J57" s="349"/>
      <c r="K57" s="349"/>
      <c r="L57" s="378"/>
      <c r="M57" s="347"/>
      <c r="N57" s="347"/>
    </row>
    <row r="58" spans="1:14">
      <c r="A58" s="595" t="s">
        <v>171</v>
      </c>
      <c r="B58" s="596"/>
      <c r="C58" s="596"/>
      <c r="D58" s="596"/>
      <c r="E58" s="596"/>
      <c r="F58" s="596"/>
      <c r="G58" s="596"/>
      <c r="H58" s="596"/>
      <c r="I58" s="596"/>
      <c r="J58" s="596"/>
      <c r="K58" s="597"/>
      <c r="L58" s="347"/>
      <c r="M58" s="347"/>
      <c r="N58" s="347"/>
    </row>
    <row r="59" spans="1:14" ht="15" thickBot="1">
      <c r="A59" s="598"/>
      <c r="B59" s="599"/>
      <c r="C59" s="599"/>
      <c r="D59" s="599"/>
      <c r="E59" s="599"/>
      <c r="F59" s="599"/>
      <c r="G59" s="599"/>
      <c r="H59" s="599"/>
      <c r="I59" s="599"/>
      <c r="J59" s="599"/>
      <c r="K59" s="600"/>
      <c r="L59" s="347"/>
      <c r="M59" s="347"/>
      <c r="N59" s="347"/>
    </row>
    <row r="60" spans="1:14">
      <c r="A60" s="347"/>
      <c r="B60" s="347"/>
      <c r="C60" s="347"/>
      <c r="D60" s="347"/>
      <c r="E60" s="347"/>
      <c r="F60" s="347"/>
      <c r="G60" s="347"/>
      <c r="H60" s="347"/>
      <c r="I60" s="347"/>
      <c r="J60" s="347"/>
      <c r="K60" s="347"/>
      <c r="L60" s="347"/>
      <c r="M60" s="347"/>
      <c r="N60" s="347"/>
    </row>
    <row r="61" spans="1:14" ht="15" customHeight="1" thickBot="1">
      <c r="A61" s="601" t="s">
        <v>172</v>
      </c>
      <c r="B61" s="602"/>
      <c r="C61" s="602"/>
      <c r="D61" s="602"/>
      <c r="E61" s="602"/>
      <c r="F61" s="602"/>
      <c r="G61" s="602"/>
      <c r="H61" s="602"/>
      <c r="I61" s="602"/>
      <c r="J61" s="602"/>
      <c r="K61" s="603"/>
      <c r="L61" s="347"/>
      <c r="M61" s="347"/>
      <c r="N61" s="347"/>
    </row>
    <row r="62" spans="1:14" ht="14.4" customHeight="1">
      <c r="A62" s="359">
        <v>1</v>
      </c>
      <c r="B62" s="604" t="s">
        <v>173</v>
      </c>
      <c r="C62" s="604"/>
      <c r="D62" s="604"/>
      <c r="E62" s="604"/>
      <c r="F62" s="604"/>
      <c r="G62" s="604"/>
      <c r="H62" s="604"/>
      <c r="I62" s="604"/>
      <c r="J62" s="604"/>
      <c r="K62" s="605"/>
    </row>
    <row r="63" spans="1:14">
      <c r="A63" s="360"/>
      <c r="B63" s="606"/>
      <c r="C63" s="606"/>
      <c r="D63" s="606"/>
      <c r="E63" s="606"/>
      <c r="F63" s="606"/>
      <c r="G63" s="606"/>
      <c r="H63" s="606"/>
      <c r="I63" s="606"/>
      <c r="J63" s="606"/>
      <c r="K63" s="607"/>
    </row>
    <row r="64" spans="1:14" ht="21" customHeight="1">
      <c r="A64" s="360"/>
      <c r="B64" s="606"/>
      <c r="C64" s="606"/>
      <c r="D64" s="606"/>
      <c r="E64" s="606"/>
      <c r="F64" s="606"/>
      <c r="G64" s="606"/>
      <c r="H64" s="606"/>
      <c r="I64" s="606"/>
      <c r="J64" s="606"/>
      <c r="K64" s="607"/>
    </row>
    <row r="65" spans="1:11">
      <c r="A65" s="361">
        <v>2</v>
      </c>
      <c r="B65" s="608" t="s">
        <v>174</v>
      </c>
      <c r="C65" s="608"/>
      <c r="D65" s="608"/>
      <c r="E65" s="608"/>
      <c r="F65" s="608"/>
      <c r="G65" s="608"/>
      <c r="H65" s="608"/>
      <c r="I65" s="608"/>
      <c r="J65" s="608"/>
      <c r="K65" s="609"/>
    </row>
    <row r="66" spans="1:11">
      <c r="A66" s="360"/>
      <c r="B66" s="608"/>
      <c r="C66" s="608"/>
      <c r="D66" s="608"/>
      <c r="E66" s="608"/>
      <c r="F66" s="608"/>
      <c r="G66" s="608"/>
      <c r="H66" s="608"/>
      <c r="I66" s="608"/>
      <c r="J66" s="608"/>
      <c r="K66" s="609"/>
    </row>
    <row r="67" spans="1:11">
      <c r="A67" s="362">
        <v>3</v>
      </c>
      <c r="B67" s="610" t="s">
        <v>175</v>
      </c>
      <c r="C67" s="610"/>
      <c r="D67" s="610"/>
      <c r="E67" s="610"/>
      <c r="F67" s="610"/>
      <c r="G67" s="610"/>
      <c r="H67" s="610"/>
      <c r="I67" s="610"/>
      <c r="J67" s="610"/>
      <c r="K67" s="611"/>
    </row>
    <row r="68" spans="1:11">
      <c r="A68" s="360"/>
      <c r="B68" s="610"/>
      <c r="C68" s="610"/>
      <c r="D68" s="610"/>
      <c r="E68" s="610"/>
      <c r="F68" s="610"/>
      <c r="G68" s="610"/>
      <c r="H68" s="610"/>
      <c r="I68" s="610"/>
      <c r="J68" s="610"/>
      <c r="K68" s="611"/>
    </row>
    <row r="69" spans="1:11">
      <c r="A69" s="361">
        <v>4</v>
      </c>
      <c r="B69" s="608" t="s">
        <v>176</v>
      </c>
      <c r="C69" s="612"/>
      <c r="D69" s="612"/>
      <c r="E69" s="612"/>
      <c r="F69" s="612"/>
      <c r="G69" s="612"/>
      <c r="H69" s="612"/>
      <c r="I69" s="612"/>
      <c r="J69" s="612"/>
      <c r="K69" s="613"/>
    </row>
    <row r="70" spans="1:11">
      <c r="A70" s="360"/>
      <c r="B70" s="612"/>
      <c r="C70" s="612"/>
      <c r="D70" s="612"/>
      <c r="E70" s="612"/>
      <c r="F70" s="612"/>
      <c r="G70" s="612"/>
      <c r="H70" s="612"/>
      <c r="I70" s="612"/>
      <c r="J70" s="612"/>
      <c r="K70" s="613"/>
    </row>
    <row r="71" spans="1:11">
      <c r="A71" s="362">
        <v>5</v>
      </c>
      <c r="B71" s="616" t="s">
        <v>187</v>
      </c>
      <c r="C71" s="616"/>
      <c r="D71" s="616"/>
      <c r="E71" s="616"/>
      <c r="F71" s="616"/>
      <c r="G71" s="616"/>
      <c r="H71" s="616"/>
      <c r="I71" s="616"/>
      <c r="J71" s="616"/>
      <c r="K71" s="617"/>
    </row>
    <row r="72" spans="1:11">
      <c r="A72" s="363"/>
      <c r="B72" s="616"/>
      <c r="C72" s="616"/>
      <c r="D72" s="616"/>
      <c r="E72" s="616"/>
      <c r="F72" s="616"/>
      <c r="G72" s="616"/>
      <c r="H72" s="616"/>
      <c r="I72" s="616"/>
      <c r="J72" s="616"/>
      <c r="K72" s="617"/>
    </row>
    <row r="73" spans="1:11">
      <c r="A73" s="371">
        <v>6</v>
      </c>
      <c r="B73" s="586" t="s">
        <v>188</v>
      </c>
      <c r="C73" s="587"/>
      <c r="D73" s="587"/>
      <c r="E73" s="587"/>
      <c r="F73" s="587"/>
      <c r="G73" s="587"/>
      <c r="H73" s="587"/>
      <c r="I73" s="587"/>
      <c r="J73" s="587"/>
      <c r="K73" s="588"/>
    </row>
    <row r="74" spans="1:11" ht="15" thickBot="1">
      <c r="A74" s="364"/>
      <c r="B74" s="589"/>
      <c r="C74" s="589"/>
      <c r="D74" s="589"/>
      <c r="E74" s="589"/>
      <c r="F74" s="589"/>
      <c r="G74" s="589"/>
      <c r="H74" s="589"/>
      <c r="I74" s="589"/>
      <c r="J74" s="589"/>
      <c r="K74" s="590"/>
    </row>
  </sheetData>
  <sheetProtection password="E109" sheet="1" objects="1" scenarios="1" selectLockedCells="1"/>
  <mergeCells count="38">
    <mergeCell ref="B73:K74"/>
    <mergeCell ref="A4:K7"/>
    <mergeCell ref="A58:K59"/>
    <mergeCell ref="A61:K61"/>
    <mergeCell ref="B62:K64"/>
    <mergeCell ref="B65:K66"/>
    <mergeCell ref="B67:K68"/>
    <mergeCell ref="B69:K70"/>
    <mergeCell ref="A23:K23"/>
    <mergeCell ref="B24:K24"/>
    <mergeCell ref="B25:K25"/>
    <mergeCell ref="B26:K26"/>
    <mergeCell ref="B27:K27"/>
    <mergeCell ref="B71:K72"/>
    <mergeCell ref="A43:B43"/>
    <mergeCell ref="C43:K45"/>
    <mergeCell ref="C1:I1"/>
    <mergeCell ref="A33:K38"/>
    <mergeCell ref="A39:B39"/>
    <mergeCell ref="C39:K42"/>
    <mergeCell ref="C3:I3"/>
    <mergeCell ref="A20:K20"/>
    <mergeCell ref="A21:I21"/>
    <mergeCell ref="A22:K22"/>
    <mergeCell ref="A9:K13"/>
    <mergeCell ref="A15:K16"/>
    <mergeCell ref="A18:K18"/>
    <mergeCell ref="B28:K28"/>
    <mergeCell ref="A46:B46"/>
    <mergeCell ref="C46:K47"/>
    <mergeCell ref="C29:K29"/>
    <mergeCell ref="C30:K31"/>
    <mergeCell ref="C54:K54"/>
    <mergeCell ref="A55:K56"/>
    <mergeCell ref="A52:B52"/>
    <mergeCell ref="C48:K51"/>
    <mergeCell ref="A53:B53"/>
    <mergeCell ref="C53:K5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M10"/>
  <sheetViews>
    <sheetView workbookViewId="0">
      <selection activeCell="F30" sqref="F30"/>
    </sheetView>
  </sheetViews>
  <sheetFormatPr defaultRowHeight="14.4"/>
  <cols>
    <col min="1" max="1" width="14.109375" customWidth="1"/>
    <col min="2" max="2" width="14" customWidth="1"/>
    <col min="3" max="3" width="12.6640625" customWidth="1"/>
    <col min="4" max="4" width="13.33203125" customWidth="1"/>
    <col min="5" max="5" width="15.109375" customWidth="1"/>
    <col min="6" max="6" width="12.6640625" customWidth="1"/>
    <col min="7" max="7" width="12.109375" customWidth="1"/>
    <col min="8" max="8" width="12.109375" style="346" customWidth="1"/>
    <col min="9" max="9" width="14.33203125" customWidth="1"/>
    <col min="10" max="10" width="11.6640625" customWidth="1"/>
    <col min="11" max="11" width="12" customWidth="1"/>
    <col min="12" max="12" width="11.33203125" customWidth="1"/>
    <col min="13" max="13" width="11.88671875" customWidth="1"/>
  </cols>
  <sheetData>
    <row r="1" spans="1:13" s="365" customFormat="1"/>
    <row r="2" spans="1:13" s="365" customFormat="1">
      <c r="A2" s="540" t="s">
        <v>191</v>
      </c>
      <c r="B2" s="690" t="s">
        <v>334</v>
      </c>
      <c r="C2" s="690"/>
      <c r="D2" s="690"/>
      <c r="E2" s="706" t="s">
        <v>1</v>
      </c>
      <c r="F2" s="706"/>
      <c r="G2" s="706"/>
      <c r="H2" s="706"/>
      <c r="I2" s="693" t="s">
        <v>58</v>
      </c>
      <c r="J2" s="693"/>
      <c r="K2" s="704" t="s">
        <v>270</v>
      </c>
      <c r="L2" s="705"/>
    </row>
    <row r="3" spans="1:13" ht="15.6">
      <c r="A3" s="350" t="s">
        <v>5</v>
      </c>
      <c r="B3" s="528" t="s">
        <v>192</v>
      </c>
      <c r="C3" s="528" t="s">
        <v>194</v>
      </c>
      <c r="D3" s="528" t="s">
        <v>197</v>
      </c>
      <c r="E3" s="541" t="s">
        <v>193</v>
      </c>
      <c r="F3" s="541" t="s">
        <v>319</v>
      </c>
      <c r="G3" s="541" t="s">
        <v>320</v>
      </c>
      <c r="H3" s="541" t="s">
        <v>201</v>
      </c>
      <c r="I3" s="542" t="s">
        <v>198</v>
      </c>
      <c r="J3" s="542" t="s">
        <v>199</v>
      </c>
      <c r="K3" s="529" t="s">
        <v>178</v>
      </c>
      <c r="L3" s="530" t="s">
        <v>177</v>
      </c>
      <c r="M3" s="336"/>
    </row>
    <row r="4" spans="1:13">
      <c r="A4" s="356"/>
      <c r="B4" s="533" t="s">
        <v>195</v>
      </c>
      <c r="C4" s="533" t="s">
        <v>196</v>
      </c>
      <c r="D4" s="533"/>
      <c r="E4" s="543"/>
      <c r="F4" s="543"/>
      <c r="G4" s="543"/>
      <c r="H4" s="543"/>
      <c r="I4" s="107"/>
      <c r="J4" s="107"/>
      <c r="K4" s="77" t="s">
        <v>186</v>
      </c>
      <c r="L4" s="539" t="s">
        <v>202</v>
      </c>
    </row>
    <row r="5" spans="1:13">
      <c r="A5" s="544"/>
      <c r="B5" s="545"/>
      <c r="C5" s="545"/>
      <c r="D5" s="545"/>
      <c r="E5" s="546"/>
      <c r="F5" s="546"/>
      <c r="G5" s="546"/>
      <c r="H5" s="541" t="s">
        <v>38</v>
      </c>
      <c r="I5" s="91"/>
      <c r="J5" s="91"/>
      <c r="K5" s="61"/>
      <c r="L5" s="519"/>
    </row>
    <row r="6" spans="1:13">
      <c r="A6" s="353" t="s">
        <v>200</v>
      </c>
      <c r="B6" s="531">
        <v>20</v>
      </c>
      <c r="C6" s="531">
        <v>30</v>
      </c>
      <c r="D6" s="532">
        <v>0.95</v>
      </c>
      <c r="E6" s="81">
        <v>9.6</v>
      </c>
      <c r="F6" s="81">
        <v>6.38</v>
      </c>
      <c r="G6" s="81">
        <v>0.5</v>
      </c>
      <c r="H6" s="81">
        <v>6</v>
      </c>
      <c r="I6" s="68">
        <v>0</v>
      </c>
      <c r="J6" s="68"/>
      <c r="K6" s="66">
        <v>19.399999999999999</v>
      </c>
      <c r="L6" s="527">
        <v>5.8500000000000003E-2</v>
      </c>
    </row>
    <row r="7" spans="1:13">
      <c r="A7" s="353"/>
      <c r="B7" s="531"/>
      <c r="C7" s="531"/>
      <c r="D7" s="531"/>
      <c r="E7" s="81"/>
      <c r="F7" s="81"/>
      <c r="G7" s="81"/>
      <c r="H7" s="81"/>
      <c r="I7" s="68"/>
      <c r="J7" s="68"/>
      <c r="K7" s="66"/>
      <c r="L7" s="527"/>
    </row>
    <row r="8" spans="1:13">
      <c r="A8" s="353" t="s">
        <v>81</v>
      </c>
      <c r="B8" s="531">
        <v>50</v>
      </c>
      <c r="C8" s="531">
        <v>30</v>
      </c>
      <c r="D8" s="532">
        <v>0.95</v>
      </c>
      <c r="E8" s="81">
        <v>20.6</v>
      </c>
      <c r="F8" s="81">
        <v>14.6</v>
      </c>
      <c r="G8" s="81">
        <v>0.41499999999999998</v>
      </c>
      <c r="H8" s="81">
        <v>2.5</v>
      </c>
      <c r="I8" s="68">
        <v>1</v>
      </c>
      <c r="J8" s="68"/>
      <c r="K8" s="66">
        <v>3.69</v>
      </c>
      <c r="L8" s="527">
        <v>1.04E-2</v>
      </c>
    </row>
    <row r="9" spans="1:13">
      <c r="A9" s="353"/>
      <c r="B9" s="531"/>
      <c r="C9" s="531"/>
      <c r="D9" s="531"/>
      <c r="E9" s="81"/>
      <c r="F9" s="81"/>
      <c r="G9" s="81"/>
      <c r="H9" s="81"/>
      <c r="I9" s="68"/>
      <c r="J9" s="68"/>
      <c r="K9" s="66"/>
      <c r="L9" s="527"/>
    </row>
    <row r="10" spans="1:13">
      <c r="A10" s="356" t="s">
        <v>84</v>
      </c>
      <c r="B10" s="533">
        <v>10</v>
      </c>
      <c r="C10" s="533">
        <v>30</v>
      </c>
      <c r="D10" s="534">
        <v>0.95</v>
      </c>
      <c r="E10" s="535">
        <v>4.2699999999999996</v>
      </c>
      <c r="F10" s="535">
        <v>3.02</v>
      </c>
      <c r="G10" s="535">
        <v>0.41399999999999998</v>
      </c>
      <c r="H10" s="535">
        <v>1.5</v>
      </c>
      <c r="I10" s="536">
        <v>1</v>
      </c>
      <c r="J10" s="536"/>
      <c r="K10" s="537">
        <v>5.9392552190144396</v>
      </c>
      <c r="L10" s="538">
        <v>2.1333729642000063E-2</v>
      </c>
    </row>
  </sheetData>
  <sheetProtection password="E109" sheet="1" objects="1" scenarios="1"/>
  <mergeCells count="4">
    <mergeCell ref="K2:L2"/>
    <mergeCell ref="B2:D2"/>
    <mergeCell ref="E2:H2"/>
    <mergeCell ref="I2:J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tabColor theme="9" tint="-0.499984740745262"/>
  </sheetPr>
  <dimension ref="C2:R37"/>
  <sheetViews>
    <sheetView topLeftCell="A7" workbookViewId="0">
      <selection activeCell="P25" sqref="P25"/>
    </sheetView>
  </sheetViews>
  <sheetFormatPr defaultRowHeight="14.4"/>
  <sheetData>
    <row r="2" spans="3:12">
      <c r="C2" s="365"/>
      <c r="D2" s="365"/>
      <c r="E2" s="365"/>
      <c r="F2" s="620" t="s">
        <v>318</v>
      </c>
      <c r="G2" s="621"/>
      <c r="H2" s="621"/>
      <c r="I2" s="622"/>
      <c r="J2" s="365"/>
      <c r="K2" s="365"/>
      <c r="L2" s="365"/>
    </row>
    <row r="3" spans="3:12">
      <c r="C3" s="517"/>
      <c r="D3" s="518"/>
      <c r="E3" s="61"/>
      <c r="F3" s="61"/>
      <c r="G3" s="61"/>
      <c r="H3" s="61"/>
      <c r="I3" s="61"/>
      <c r="J3" s="61"/>
      <c r="K3" s="61"/>
      <c r="L3" s="519"/>
    </row>
    <row r="4" spans="3:12">
      <c r="C4" s="520" t="s">
        <v>282</v>
      </c>
      <c r="D4" s="623" t="s">
        <v>284</v>
      </c>
      <c r="E4" s="623"/>
      <c r="F4" s="623"/>
      <c r="G4" s="623"/>
      <c r="H4" s="623"/>
      <c r="I4" s="623"/>
      <c r="J4" s="623"/>
      <c r="K4" s="623"/>
      <c r="L4" s="624"/>
    </row>
    <row r="5" spans="3:12">
      <c r="C5" s="522" t="s">
        <v>200</v>
      </c>
      <c r="D5" s="623" t="s">
        <v>285</v>
      </c>
      <c r="E5" s="623"/>
      <c r="F5" s="623"/>
      <c r="G5" s="623"/>
      <c r="H5" s="623"/>
      <c r="I5" s="623"/>
      <c r="J5" s="623"/>
      <c r="K5" s="623"/>
      <c r="L5" s="624"/>
    </row>
    <row r="6" spans="3:12">
      <c r="C6" s="103" t="s">
        <v>120</v>
      </c>
      <c r="D6" s="625" t="s">
        <v>312</v>
      </c>
      <c r="E6" s="625"/>
      <c r="F6" s="625"/>
      <c r="G6" s="625"/>
      <c r="H6" s="625"/>
      <c r="I6" s="625"/>
      <c r="J6" s="625"/>
      <c r="K6" s="625"/>
      <c r="L6" s="626"/>
    </row>
    <row r="7" spans="3:12">
      <c r="C7" s="103" t="s">
        <v>119</v>
      </c>
      <c r="D7" s="625" t="s">
        <v>313</v>
      </c>
      <c r="E7" s="625"/>
      <c r="F7" s="625"/>
      <c r="G7" s="625"/>
      <c r="H7" s="625"/>
      <c r="I7" s="625"/>
      <c r="J7" s="625"/>
      <c r="K7" s="625"/>
      <c r="L7" s="626"/>
    </row>
    <row r="8" spans="3:12" ht="15.6">
      <c r="C8" s="520" t="s">
        <v>286</v>
      </c>
      <c r="D8" s="623" t="s">
        <v>290</v>
      </c>
      <c r="E8" s="623"/>
      <c r="F8" s="623"/>
      <c r="G8" s="623"/>
      <c r="H8" s="623"/>
      <c r="I8" s="623"/>
      <c r="J8" s="623"/>
      <c r="K8" s="623"/>
      <c r="L8" s="624"/>
    </row>
    <row r="9" spans="3:12" ht="15.6">
      <c r="C9" s="522" t="s">
        <v>238</v>
      </c>
      <c r="D9" s="623" t="s">
        <v>287</v>
      </c>
      <c r="E9" s="623"/>
      <c r="F9" s="623"/>
      <c r="G9" s="623"/>
      <c r="H9" s="623"/>
      <c r="I9" s="623"/>
      <c r="J9" s="623"/>
      <c r="K9" s="623"/>
      <c r="L9" s="624"/>
    </row>
    <row r="10" spans="3:12" ht="15.6">
      <c r="C10" s="520" t="s">
        <v>288</v>
      </c>
      <c r="D10" s="627" t="s">
        <v>289</v>
      </c>
      <c r="E10" s="627"/>
      <c r="F10" s="627"/>
      <c r="G10" s="627"/>
      <c r="H10" s="627"/>
      <c r="I10" s="627"/>
      <c r="J10" s="627"/>
      <c r="K10" s="627"/>
      <c r="L10" s="628"/>
    </row>
    <row r="11" spans="3:12" ht="15.6">
      <c r="C11" s="520" t="s">
        <v>177</v>
      </c>
      <c r="D11" s="627" t="s">
        <v>291</v>
      </c>
      <c r="E11" s="627"/>
      <c r="F11" s="627"/>
      <c r="G11" s="627"/>
      <c r="H11" s="627"/>
      <c r="I11" s="627"/>
      <c r="J11" s="627"/>
      <c r="K11" s="627"/>
      <c r="L11" s="628"/>
    </row>
    <row r="12" spans="3:12" ht="15.6">
      <c r="C12" s="520" t="s">
        <v>292</v>
      </c>
      <c r="D12" s="627" t="s">
        <v>293</v>
      </c>
      <c r="E12" s="627"/>
      <c r="F12" s="627"/>
      <c r="G12" s="627"/>
      <c r="H12" s="627"/>
      <c r="I12" s="627"/>
      <c r="J12" s="627"/>
      <c r="K12" s="627"/>
      <c r="L12" s="628"/>
    </row>
    <row r="13" spans="3:12">
      <c r="C13" s="520" t="s">
        <v>283</v>
      </c>
      <c r="D13" s="627" t="s">
        <v>294</v>
      </c>
      <c r="E13" s="627"/>
      <c r="F13" s="627"/>
      <c r="G13" s="627"/>
      <c r="H13" s="627"/>
      <c r="I13" s="627"/>
      <c r="J13" s="627"/>
      <c r="K13" s="627"/>
      <c r="L13" s="628"/>
    </row>
    <row r="14" spans="3:12">
      <c r="C14" s="522" t="s">
        <v>274</v>
      </c>
      <c r="D14" s="627" t="s">
        <v>295</v>
      </c>
      <c r="E14" s="627"/>
      <c r="F14" s="627"/>
      <c r="G14" s="627"/>
      <c r="H14" s="627"/>
      <c r="I14" s="627"/>
      <c r="J14" s="627"/>
      <c r="K14" s="627"/>
      <c r="L14" s="628"/>
    </row>
    <row r="15" spans="3:12" s="365" customFormat="1">
      <c r="C15" s="522" t="s">
        <v>328</v>
      </c>
      <c r="D15" s="627" t="s">
        <v>329</v>
      </c>
      <c r="E15" s="627"/>
      <c r="F15" s="627"/>
      <c r="G15" s="627"/>
      <c r="H15" s="627"/>
      <c r="I15" s="627"/>
      <c r="J15" s="627"/>
      <c r="K15" s="627"/>
      <c r="L15" s="628"/>
    </row>
    <row r="16" spans="3:12">
      <c r="C16" s="522" t="s">
        <v>275</v>
      </c>
      <c r="D16" s="627" t="s">
        <v>296</v>
      </c>
      <c r="E16" s="627"/>
      <c r="F16" s="627"/>
      <c r="G16" s="627"/>
      <c r="H16" s="627"/>
      <c r="I16" s="627"/>
      <c r="J16" s="627"/>
      <c r="K16" s="627"/>
      <c r="L16" s="628"/>
    </row>
    <row r="17" spans="3:18" s="365" customFormat="1">
      <c r="C17" s="522" t="s">
        <v>338</v>
      </c>
      <c r="D17" s="627" t="s">
        <v>339</v>
      </c>
      <c r="E17" s="627"/>
      <c r="F17" s="627"/>
      <c r="G17" s="627"/>
      <c r="H17" s="627"/>
      <c r="I17" s="627"/>
      <c r="J17" s="627"/>
      <c r="K17" s="627"/>
      <c r="L17" s="628"/>
    </row>
    <row r="18" spans="3:18" s="365" customFormat="1">
      <c r="C18" s="522" t="s">
        <v>332</v>
      </c>
      <c r="D18" s="627" t="s">
        <v>333</v>
      </c>
      <c r="E18" s="627"/>
      <c r="F18" s="627"/>
      <c r="G18" s="627"/>
      <c r="H18" s="627"/>
      <c r="I18" s="627"/>
      <c r="J18" s="627"/>
      <c r="K18" s="627"/>
      <c r="L18" s="628"/>
    </row>
    <row r="19" spans="3:18">
      <c r="C19" s="520" t="s">
        <v>299</v>
      </c>
      <c r="D19" s="625" t="s">
        <v>300</v>
      </c>
      <c r="E19" s="625"/>
      <c r="F19" s="625"/>
      <c r="G19" s="625"/>
      <c r="H19" s="625"/>
      <c r="I19" s="625"/>
      <c r="J19" s="625"/>
      <c r="K19" s="625"/>
      <c r="L19" s="626"/>
    </row>
    <row r="20" spans="3:18" ht="15.6">
      <c r="C20" s="520" t="s">
        <v>178</v>
      </c>
      <c r="D20" s="627" t="s">
        <v>298</v>
      </c>
      <c r="E20" s="627"/>
      <c r="F20" s="627"/>
      <c r="G20" s="627"/>
      <c r="H20" s="627"/>
      <c r="I20" s="627"/>
      <c r="J20" s="627"/>
      <c r="K20" s="627"/>
      <c r="L20" s="628"/>
    </row>
    <row r="21" spans="3:18" ht="15.6">
      <c r="C21" s="522" t="s">
        <v>301</v>
      </c>
      <c r="D21" s="627" t="s">
        <v>302</v>
      </c>
      <c r="E21" s="627"/>
      <c r="F21" s="627"/>
      <c r="G21" s="627"/>
      <c r="H21" s="627"/>
      <c r="I21" s="627"/>
      <c r="J21" s="627"/>
      <c r="K21" s="627"/>
      <c r="L21" s="628"/>
      <c r="O21" s="365" t="s">
        <v>5</v>
      </c>
      <c r="R21" s="365" t="s">
        <v>5</v>
      </c>
    </row>
    <row r="22" spans="3:18" ht="15.6">
      <c r="C22" s="522" t="s">
        <v>297</v>
      </c>
      <c r="D22" s="627" t="s">
        <v>303</v>
      </c>
      <c r="E22" s="627"/>
      <c r="F22" s="627"/>
      <c r="G22" s="627"/>
      <c r="H22" s="627"/>
      <c r="I22" s="627"/>
      <c r="J22" s="627"/>
      <c r="K22" s="627"/>
      <c r="L22" s="628"/>
    </row>
    <row r="23" spans="3:18">
      <c r="C23" s="520" t="s">
        <v>278</v>
      </c>
      <c r="D23" s="627" t="s">
        <v>304</v>
      </c>
      <c r="E23" s="627"/>
      <c r="F23" s="627"/>
      <c r="G23" s="627"/>
      <c r="H23" s="627"/>
      <c r="I23" s="627"/>
      <c r="J23" s="627"/>
      <c r="K23" s="627"/>
      <c r="L23" s="628"/>
    </row>
    <row r="24" spans="3:18">
      <c r="C24" s="522" t="s">
        <v>81</v>
      </c>
      <c r="D24" s="625" t="s">
        <v>305</v>
      </c>
      <c r="E24" s="625"/>
      <c r="F24" s="625"/>
      <c r="G24" s="625"/>
      <c r="H24" s="625"/>
      <c r="I24" s="625"/>
      <c r="J24" s="625"/>
      <c r="K24" s="625"/>
      <c r="L24" s="626"/>
      <c r="P24" s="365" t="s">
        <v>5</v>
      </c>
    </row>
    <row r="25" spans="3:18">
      <c r="C25" s="522" t="s">
        <v>84</v>
      </c>
      <c r="D25" s="625" t="s">
        <v>306</v>
      </c>
      <c r="E25" s="625"/>
      <c r="F25" s="625"/>
      <c r="G25" s="625"/>
      <c r="H25" s="625"/>
      <c r="I25" s="625"/>
      <c r="J25" s="625"/>
      <c r="K25" s="625"/>
      <c r="L25" s="626"/>
    </row>
    <row r="26" spans="3:18" s="365" customFormat="1">
      <c r="C26" s="522" t="s">
        <v>320</v>
      </c>
      <c r="D26" s="625" t="s">
        <v>321</v>
      </c>
      <c r="E26" s="625"/>
      <c r="F26" s="625"/>
      <c r="G26" s="625"/>
      <c r="H26" s="625"/>
      <c r="I26" s="625"/>
      <c r="J26" s="625"/>
      <c r="K26" s="625"/>
      <c r="L26" s="626"/>
    </row>
    <row r="27" spans="3:18">
      <c r="C27" s="520" t="s">
        <v>281</v>
      </c>
      <c r="D27" s="623" t="s">
        <v>307</v>
      </c>
      <c r="E27" s="623"/>
      <c r="F27" s="623"/>
      <c r="G27" s="623"/>
      <c r="H27" s="623"/>
      <c r="I27" s="623"/>
      <c r="J27" s="623"/>
      <c r="K27" s="623"/>
      <c r="L27" s="624"/>
    </row>
    <row r="28" spans="3:18" s="365" customFormat="1" ht="16.2" customHeight="1">
      <c r="C28" s="520" t="s">
        <v>337</v>
      </c>
      <c r="D28" s="623" t="s">
        <v>340</v>
      </c>
      <c r="E28" s="623"/>
      <c r="F28" s="623"/>
      <c r="G28" s="623"/>
      <c r="H28" s="623"/>
      <c r="I28" s="623"/>
      <c r="J28" s="623"/>
      <c r="K28" s="623"/>
      <c r="L28" s="624"/>
    </row>
    <row r="29" spans="3:18" s="365" customFormat="1" ht="16.2" customHeight="1">
      <c r="C29" s="520" t="s">
        <v>240</v>
      </c>
      <c r="D29" s="623" t="s">
        <v>341</v>
      </c>
      <c r="E29" s="623"/>
      <c r="F29" s="623"/>
      <c r="G29" s="623"/>
      <c r="H29" s="623"/>
      <c r="I29" s="623"/>
      <c r="J29" s="623"/>
      <c r="K29" s="623"/>
      <c r="L29" s="624"/>
    </row>
    <row r="30" spans="3:18">
      <c r="C30" s="522" t="s">
        <v>273</v>
      </c>
      <c r="D30" s="623" t="s">
        <v>308</v>
      </c>
      <c r="E30" s="623"/>
      <c r="F30" s="623"/>
      <c r="G30" s="623"/>
      <c r="H30" s="623"/>
      <c r="I30" s="623"/>
      <c r="J30" s="623"/>
      <c r="K30" s="623"/>
      <c r="L30" s="624"/>
    </row>
    <row r="31" spans="3:18" s="365" customFormat="1" ht="17.399999999999999" customHeight="1">
      <c r="C31" s="522" t="s">
        <v>195</v>
      </c>
      <c r="D31" s="623" t="s">
        <v>336</v>
      </c>
      <c r="E31" s="623"/>
      <c r="F31" s="623"/>
      <c r="G31" s="623"/>
      <c r="H31" s="623"/>
      <c r="I31" s="623"/>
      <c r="J31" s="623"/>
      <c r="K31" s="623"/>
      <c r="L31" s="624"/>
    </row>
    <row r="32" spans="3:18">
      <c r="C32" s="520" t="s">
        <v>280</v>
      </c>
      <c r="D32" s="623" t="s">
        <v>309</v>
      </c>
      <c r="E32" s="623"/>
      <c r="F32" s="623"/>
      <c r="G32" s="623"/>
      <c r="H32" s="623"/>
      <c r="I32" s="623"/>
      <c r="J32" s="623"/>
      <c r="K32" s="623"/>
      <c r="L32" s="624"/>
      <c r="P32" s="365" t="s">
        <v>5</v>
      </c>
    </row>
    <row r="33" spans="3:12">
      <c r="C33" s="522" t="s">
        <v>276</v>
      </c>
      <c r="D33" s="623" t="s">
        <v>310</v>
      </c>
      <c r="E33" s="623"/>
      <c r="F33" s="623"/>
      <c r="G33" s="623"/>
      <c r="H33" s="623"/>
      <c r="I33" s="623"/>
      <c r="J33" s="623"/>
      <c r="K33" s="623"/>
      <c r="L33" s="624"/>
    </row>
    <row r="34" spans="3:12" s="365" customFormat="1">
      <c r="C34" s="522" t="s">
        <v>326</v>
      </c>
      <c r="D34" s="623" t="s">
        <v>327</v>
      </c>
      <c r="E34" s="623"/>
      <c r="F34" s="623"/>
      <c r="G34" s="623"/>
      <c r="H34" s="623"/>
      <c r="I34" s="623"/>
      <c r="J34" s="623"/>
      <c r="K34" s="623"/>
      <c r="L34" s="624"/>
    </row>
    <row r="35" spans="3:12">
      <c r="C35" s="103" t="s">
        <v>277</v>
      </c>
      <c r="D35" s="623" t="s">
        <v>311</v>
      </c>
      <c r="E35" s="623"/>
      <c r="F35" s="623"/>
      <c r="G35" s="623"/>
      <c r="H35" s="623"/>
      <c r="I35" s="623"/>
      <c r="J35" s="623"/>
      <c r="K35" s="623"/>
      <c r="L35" s="624"/>
    </row>
    <row r="36" spans="3:12">
      <c r="C36" s="103"/>
      <c r="D36" s="521"/>
      <c r="E36" s="95"/>
      <c r="F36" s="95"/>
      <c r="G36" s="95"/>
      <c r="H36" s="95"/>
      <c r="I36" s="95"/>
      <c r="J36" s="95"/>
      <c r="K36" s="95"/>
      <c r="L36" s="125"/>
    </row>
    <row r="37" spans="3:12">
      <c r="C37" s="104"/>
      <c r="D37" s="105"/>
      <c r="E37" s="105"/>
      <c r="F37" s="105"/>
      <c r="G37" s="105"/>
      <c r="H37" s="105"/>
      <c r="I37" s="105"/>
      <c r="J37" s="105"/>
      <c r="K37" s="105"/>
      <c r="L37" s="523"/>
    </row>
  </sheetData>
  <sheetProtection password="E109" sheet="1" objects="1" scenarios="1"/>
  <mergeCells count="33">
    <mergeCell ref="D32:L32"/>
    <mergeCell ref="D35:L35"/>
    <mergeCell ref="D33:L33"/>
    <mergeCell ref="D21:L21"/>
    <mergeCell ref="D22:L22"/>
    <mergeCell ref="D23:L23"/>
    <mergeCell ref="D24:L24"/>
    <mergeCell ref="D25:L25"/>
    <mergeCell ref="D34:L34"/>
    <mergeCell ref="D31:L31"/>
    <mergeCell ref="D28:L28"/>
    <mergeCell ref="D29:L29"/>
    <mergeCell ref="D10:L10"/>
    <mergeCell ref="D11:L11"/>
    <mergeCell ref="D12:L12"/>
    <mergeCell ref="D27:L27"/>
    <mergeCell ref="D30:L30"/>
    <mergeCell ref="D13:L13"/>
    <mergeCell ref="D16:L16"/>
    <mergeCell ref="D14:L14"/>
    <mergeCell ref="D19:L19"/>
    <mergeCell ref="D20:L20"/>
    <mergeCell ref="D26:L26"/>
    <mergeCell ref="D15:L15"/>
    <mergeCell ref="D18:L18"/>
    <mergeCell ref="D17:L17"/>
    <mergeCell ref="F2:I2"/>
    <mergeCell ref="D4:L4"/>
    <mergeCell ref="D5:L5"/>
    <mergeCell ref="D8:L8"/>
    <mergeCell ref="D9:L9"/>
    <mergeCell ref="D6:L6"/>
    <mergeCell ref="D7:L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tabColor theme="5" tint="-0.499984740745262"/>
  </sheetPr>
  <dimension ref="A1:Q45"/>
  <sheetViews>
    <sheetView topLeftCell="A17" workbookViewId="0">
      <selection activeCell="G40" sqref="G40"/>
    </sheetView>
  </sheetViews>
  <sheetFormatPr defaultRowHeight="14.4"/>
  <cols>
    <col min="1" max="1" width="41.33203125" customWidth="1"/>
    <col min="2" max="2" width="10.109375" customWidth="1"/>
    <col min="3" max="3" width="13.6640625" style="335" hidden="1" customWidth="1"/>
    <col min="4" max="4" width="12.33203125" customWidth="1"/>
    <col min="5" max="5" width="10.6640625" customWidth="1"/>
    <col min="6" max="6" width="12.109375" customWidth="1"/>
    <col min="7" max="7" width="13.6640625" customWidth="1"/>
    <col min="8" max="8" width="10" customWidth="1"/>
    <col min="9" max="9" width="10.6640625" customWidth="1"/>
    <col min="11" max="11" width="10.21875" customWidth="1"/>
  </cols>
  <sheetData>
    <row r="1" spans="1:17">
      <c r="D1" s="641" t="s">
        <v>118</v>
      </c>
      <c r="E1" s="642"/>
      <c r="F1" s="642"/>
      <c r="G1" s="642"/>
      <c r="H1" s="642"/>
      <c r="I1" s="642"/>
      <c r="J1" s="642"/>
      <c r="K1" s="642"/>
      <c r="L1" s="643"/>
    </row>
    <row r="2" spans="1:17">
      <c r="D2" s="644"/>
      <c r="E2" s="645"/>
      <c r="F2" s="645"/>
      <c r="G2" s="645"/>
      <c r="H2" s="645"/>
      <c r="I2" s="645"/>
      <c r="J2" s="645"/>
      <c r="K2" s="645"/>
      <c r="L2" s="646"/>
    </row>
    <row r="3" spans="1:17" ht="18">
      <c r="D3" s="2"/>
      <c r="E3" s="2"/>
      <c r="F3" s="2"/>
      <c r="G3" s="2"/>
      <c r="H3" s="2"/>
      <c r="I3" s="2"/>
      <c r="J3" s="2"/>
      <c r="K3" s="2"/>
      <c r="L3" s="2"/>
    </row>
    <row r="4" spans="1:17" ht="15" thickBot="1"/>
    <row r="5" spans="1:17">
      <c r="A5" s="303" t="s">
        <v>2</v>
      </c>
      <c r="B5" s="431">
        <v>10</v>
      </c>
      <c r="E5" s="365" t="s">
        <v>5</v>
      </c>
      <c r="F5" s="365" t="s">
        <v>5</v>
      </c>
      <c r="G5" s="647" t="s">
        <v>245</v>
      </c>
      <c r="H5" s="648"/>
      <c r="I5" s="648"/>
      <c r="J5" s="648"/>
      <c r="K5" s="648"/>
      <c r="L5" s="648"/>
      <c r="M5" s="648"/>
      <c r="N5" s="648"/>
      <c r="O5" s="648"/>
      <c r="P5" s="648"/>
      <c r="Q5" s="649"/>
    </row>
    <row r="6" spans="1:17">
      <c r="A6" s="304" t="s">
        <v>156</v>
      </c>
      <c r="B6" s="432">
        <v>0.08</v>
      </c>
      <c r="G6" s="650" t="s">
        <v>271</v>
      </c>
      <c r="H6" s="651"/>
      <c r="I6" s="651"/>
      <c r="J6" s="651"/>
      <c r="K6" s="651"/>
      <c r="L6" s="651"/>
      <c r="M6" s="651"/>
      <c r="N6" s="651"/>
      <c r="O6" s="651"/>
      <c r="P6" s="651"/>
      <c r="Q6" s="652"/>
    </row>
    <row r="7" spans="1:17">
      <c r="A7" s="304" t="s">
        <v>3</v>
      </c>
      <c r="B7" s="432">
        <v>0.95</v>
      </c>
      <c r="G7" s="653" t="s">
        <v>272</v>
      </c>
      <c r="H7" s="654"/>
      <c r="I7" s="654"/>
      <c r="J7" s="654"/>
      <c r="K7" s="654"/>
      <c r="L7" s="654"/>
      <c r="M7" s="654"/>
      <c r="N7" s="654"/>
      <c r="O7" s="654"/>
      <c r="P7" s="654"/>
      <c r="Q7" s="655"/>
    </row>
    <row r="8" spans="1:17">
      <c r="A8" s="304" t="s">
        <v>4</v>
      </c>
      <c r="B8" s="433">
        <v>30</v>
      </c>
      <c r="G8" s="492"/>
      <c r="H8" s="656" t="s">
        <v>246</v>
      </c>
      <c r="I8" s="656"/>
      <c r="J8" s="656"/>
      <c r="K8" s="656"/>
      <c r="L8" s="656"/>
      <c r="M8" s="656"/>
      <c r="N8" s="656"/>
      <c r="O8" s="656"/>
      <c r="P8" s="656"/>
      <c r="Q8" s="657"/>
    </row>
    <row r="9" spans="1:17">
      <c r="A9" s="305" t="s">
        <v>73</v>
      </c>
      <c r="B9" s="434"/>
      <c r="D9" s="629" t="str">
        <f>+IF(SUM('Input page'!C10:C16)&lt;&gt;1,"ERROR 1: Select only one plant type","")</f>
        <v/>
      </c>
      <c r="E9" s="630"/>
      <c r="G9" s="653" t="s">
        <v>248</v>
      </c>
      <c r="H9" s="654"/>
      <c r="I9" s="654"/>
      <c r="J9" s="654"/>
      <c r="K9" s="654"/>
      <c r="L9" s="654"/>
      <c r="M9" s="654"/>
      <c r="N9" s="654"/>
      <c r="O9" s="654"/>
      <c r="P9" s="654"/>
      <c r="Q9" s="655"/>
    </row>
    <row r="10" spans="1:17">
      <c r="A10" s="306" t="s">
        <v>314</v>
      </c>
      <c r="B10" s="435" t="s">
        <v>63</v>
      </c>
      <c r="C10" s="335">
        <f>+IF(B10="x", 1, 0)</f>
        <v>1</v>
      </c>
      <c r="D10" s="631"/>
      <c r="E10" s="632"/>
      <c r="G10" s="653" t="s">
        <v>249</v>
      </c>
      <c r="H10" s="654"/>
      <c r="I10" s="654"/>
      <c r="J10" s="654"/>
      <c r="K10" s="654"/>
      <c r="L10" s="654"/>
      <c r="M10" s="654"/>
      <c r="N10" s="654"/>
      <c r="O10" s="654"/>
      <c r="P10" s="654"/>
      <c r="Q10" s="655"/>
    </row>
    <row r="11" spans="1:17">
      <c r="A11" s="306" t="s">
        <v>315</v>
      </c>
      <c r="B11" s="435" t="s">
        <v>5</v>
      </c>
      <c r="C11" s="335">
        <f>+IF(B11="x", 1, 0)</f>
        <v>0</v>
      </c>
      <c r="D11" s="631"/>
      <c r="E11" s="632"/>
      <c r="G11" s="653" t="s">
        <v>247</v>
      </c>
      <c r="H11" s="654"/>
      <c r="I11" s="654"/>
      <c r="J11" s="654"/>
      <c r="K11" s="654"/>
      <c r="L11" s="654"/>
      <c r="M11" s="654"/>
      <c r="N11" s="654"/>
      <c r="O11" s="654"/>
      <c r="P11" s="654"/>
      <c r="Q11" s="655"/>
    </row>
    <row r="12" spans="1:17">
      <c r="A12" s="306" t="s">
        <v>81</v>
      </c>
      <c r="B12" s="435" t="s">
        <v>5</v>
      </c>
      <c r="C12" s="335">
        <f>+IF(B12="x", 1, 0)</f>
        <v>0</v>
      </c>
      <c r="D12" s="631"/>
      <c r="E12" s="632"/>
      <c r="F12" s="13"/>
      <c r="G12" s="653" t="s">
        <v>250</v>
      </c>
      <c r="H12" s="654"/>
      <c r="I12" s="654"/>
      <c r="J12" s="654"/>
      <c r="K12" s="654"/>
      <c r="L12" s="654"/>
      <c r="M12" s="654"/>
      <c r="N12" s="654"/>
      <c r="O12" s="654"/>
      <c r="P12" s="654"/>
      <c r="Q12" s="655"/>
    </row>
    <row r="13" spans="1:17">
      <c r="A13" s="306" t="s">
        <v>84</v>
      </c>
      <c r="B13" s="435" t="s">
        <v>5</v>
      </c>
      <c r="C13" s="335">
        <f>+IF(B13="x", 1, 0)</f>
        <v>0</v>
      </c>
      <c r="D13" s="631"/>
      <c r="E13" s="632"/>
      <c r="F13" s="13"/>
      <c r="G13" s="209"/>
      <c r="H13" s="486"/>
      <c r="I13" s="497"/>
      <c r="J13" s="497"/>
      <c r="K13" s="497"/>
      <c r="L13" s="497"/>
      <c r="M13" s="497"/>
      <c r="N13" s="497"/>
      <c r="O13" s="497"/>
      <c r="P13" s="497"/>
      <c r="Q13" s="498"/>
    </row>
    <row r="14" spans="1:17" s="365" customFormat="1">
      <c r="A14" s="462" t="s">
        <v>243</v>
      </c>
      <c r="B14" s="435"/>
      <c r="C14" s="465"/>
      <c r="D14" s="631"/>
      <c r="E14" s="632"/>
      <c r="F14" s="13"/>
      <c r="G14" s="504" t="s">
        <v>251</v>
      </c>
      <c r="H14" s="501"/>
      <c r="I14" s="501"/>
      <c r="J14" s="501"/>
      <c r="K14" s="499"/>
      <c r="L14" s="499"/>
      <c r="M14" s="499"/>
      <c r="N14" s="499"/>
      <c r="O14" s="499"/>
      <c r="P14" s="499"/>
      <c r="Q14" s="503"/>
    </row>
    <row r="15" spans="1:17" s="365" customFormat="1">
      <c r="A15" s="462" t="s">
        <v>200</v>
      </c>
      <c r="B15" s="435" t="s">
        <v>5</v>
      </c>
      <c r="C15" s="465">
        <f t="shared" ref="C15:C16" si="0">+IF(B15="x", 1, 0)</f>
        <v>0</v>
      </c>
      <c r="D15" s="631"/>
      <c r="E15" s="632"/>
      <c r="F15" s="13"/>
      <c r="G15" s="209"/>
      <c r="H15" s="486"/>
      <c r="I15" s="486"/>
      <c r="J15" s="486"/>
      <c r="K15" s="494" t="s">
        <v>252</v>
      </c>
      <c r="L15" s="494"/>
      <c r="M15" s="486"/>
      <c r="N15" s="486"/>
      <c r="O15" s="486"/>
      <c r="P15" s="486"/>
      <c r="Q15" s="487"/>
    </row>
    <row r="16" spans="1:17" ht="15" thickBot="1">
      <c r="A16" s="485" t="s">
        <v>244</v>
      </c>
      <c r="B16" s="435" t="s">
        <v>5</v>
      </c>
      <c r="C16" s="465">
        <f t="shared" si="0"/>
        <v>0</v>
      </c>
      <c r="D16" s="633"/>
      <c r="E16" s="634"/>
      <c r="F16" s="13"/>
      <c r="G16" s="209"/>
      <c r="H16" s="486"/>
      <c r="I16" s="486"/>
      <c r="J16" s="486"/>
      <c r="K16" s="494" t="s">
        <v>253</v>
      </c>
      <c r="L16" s="494"/>
      <c r="M16" s="486"/>
      <c r="N16" s="486"/>
      <c r="O16" s="486"/>
      <c r="P16" s="486"/>
      <c r="Q16" s="487"/>
    </row>
    <row r="17" spans="1:17">
      <c r="A17" s="463" t="s">
        <v>101</v>
      </c>
      <c r="B17" s="464">
        <v>1.5</v>
      </c>
      <c r="C17" s="466"/>
      <c r="D17" s="635" t="str">
        <f>+IF(AND(SUM(C20:C30)=1,OR(C10*SUM(C20:C21)=1,C11*SUM(C23:C25)=1,C12*SUM(C27:C28)=1,C13*SUM(C30)=1,C15=1,C16=1)),"","ERROR 2:  Select only one well configuration corresponding to the selected type of plant")</f>
        <v/>
      </c>
      <c r="E17" s="636"/>
      <c r="F17" s="13"/>
      <c r="G17" s="204"/>
      <c r="H17" s="205"/>
      <c r="I17" s="486"/>
      <c r="J17" s="486"/>
      <c r="K17" s="494" t="s">
        <v>254</v>
      </c>
      <c r="L17" s="494"/>
      <c r="M17" s="486"/>
      <c r="N17" s="486"/>
      <c r="O17" s="486"/>
      <c r="P17" s="486"/>
      <c r="Q17" s="487"/>
    </row>
    <row r="18" spans="1:17">
      <c r="A18" s="294" t="s">
        <v>102</v>
      </c>
      <c r="B18" s="436"/>
      <c r="C18" s="466"/>
      <c r="D18" s="637"/>
      <c r="E18" s="638"/>
      <c r="F18" s="13"/>
      <c r="G18" s="204"/>
      <c r="H18" s="205"/>
      <c r="I18" s="486"/>
      <c r="J18" s="486"/>
      <c r="K18" s="494" t="s">
        <v>255</v>
      </c>
      <c r="L18" s="494"/>
      <c r="M18" s="486"/>
      <c r="N18" s="486"/>
      <c r="O18" s="486"/>
      <c r="P18" s="486"/>
      <c r="Q18" s="487"/>
    </row>
    <row r="19" spans="1:17">
      <c r="A19" s="295" t="s">
        <v>316</v>
      </c>
      <c r="B19" s="437"/>
      <c r="C19" s="466"/>
      <c r="D19" s="637"/>
      <c r="E19" s="638"/>
      <c r="F19" s="13"/>
      <c r="G19" s="209"/>
      <c r="H19" s="486"/>
      <c r="I19" s="486"/>
      <c r="J19" s="500"/>
      <c r="K19" s="494" t="s">
        <v>256</v>
      </c>
      <c r="L19" s="494"/>
      <c r="M19" s="486"/>
      <c r="N19" s="486"/>
      <c r="O19" s="486"/>
      <c r="P19" s="486"/>
      <c r="Q19" s="487"/>
    </row>
    <row r="20" spans="1:17">
      <c r="A20" s="293" t="s">
        <v>98</v>
      </c>
      <c r="B20" s="438" t="s">
        <v>63</v>
      </c>
      <c r="C20" s="466">
        <f t="shared" ref="C20:C21" si="1">+IF(B20="x", 1, 0)</f>
        <v>1</v>
      </c>
      <c r="D20" s="637"/>
      <c r="E20" s="638"/>
      <c r="F20" s="13"/>
      <c r="G20" s="209"/>
      <c r="H20" s="486"/>
      <c r="I20" s="486"/>
      <c r="J20" s="500"/>
      <c r="K20" s="494" t="s">
        <v>257</v>
      </c>
      <c r="L20" s="494"/>
      <c r="M20" s="486"/>
      <c r="N20" s="486"/>
      <c r="O20" s="486"/>
      <c r="P20" s="486"/>
      <c r="Q20" s="487"/>
    </row>
    <row r="21" spans="1:17">
      <c r="A21" s="296" t="s">
        <v>221</v>
      </c>
      <c r="B21" s="439"/>
      <c r="C21" s="466">
        <f t="shared" si="1"/>
        <v>0</v>
      </c>
      <c r="D21" s="637"/>
      <c r="E21" s="638"/>
      <c r="F21" s="366"/>
      <c r="G21" s="490"/>
      <c r="H21" s="491"/>
      <c r="I21" s="486"/>
      <c r="J21" s="486"/>
      <c r="K21" s="502" t="s">
        <v>263</v>
      </c>
      <c r="L21" s="494"/>
      <c r="M21" s="486"/>
      <c r="N21" s="486"/>
      <c r="O21" s="486"/>
      <c r="P21" s="486"/>
      <c r="Q21" s="487"/>
    </row>
    <row r="22" spans="1:17">
      <c r="A22" s="295" t="s">
        <v>317</v>
      </c>
      <c r="B22" s="437"/>
      <c r="C22" s="466"/>
      <c r="D22" s="637"/>
      <c r="E22" s="638"/>
      <c r="G22" s="209"/>
      <c r="H22" s="486"/>
      <c r="I22" s="486"/>
      <c r="J22" s="501"/>
      <c r="K22" s="494" t="s">
        <v>259</v>
      </c>
      <c r="L22" s="499"/>
      <c r="M22" s="486"/>
      <c r="N22" s="486"/>
      <c r="O22" s="486"/>
      <c r="P22" s="486"/>
      <c r="Q22" s="487"/>
    </row>
    <row r="23" spans="1:17">
      <c r="A23" s="293" t="s">
        <v>97</v>
      </c>
      <c r="B23" s="438" t="s">
        <v>5</v>
      </c>
      <c r="C23" s="466">
        <f t="shared" ref="C23:C30" si="2">+IF(B23="x", 1, 0)</f>
        <v>0</v>
      </c>
      <c r="D23" s="637"/>
      <c r="E23" s="638"/>
      <c r="G23" s="209"/>
      <c r="H23" s="486"/>
      <c r="I23" s="486"/>
      <c r="J23" s="501"/>
      <c r="K23" s="499" t="s">
        <v>258</v>
      </c>
      <c r="L23" s="501"/>
      <c r="M23" s="486"/>
      <c r="N23" s="486"/>
      <c r="O23" s="486"/>
      <c r="P23" s="486"/>
      <c r="Q23" s="487"/>
    </row>
    <row r="24" spans="1:17">
      <c r="A24" s="293" t="s">
        <v>94</v>
      </c>
      <c r="B24" s="438" t="s">
        <v>5</v>
      </c>
      <c r="C24" s="466">
        <f t="shared" si="2"/>
        <v>0</v>
      </c>
      <c r="D24" s="637"/>
      <c r="E24" s="638"/>
      <c r="G24" s="658" t="s">
        <v>262</v>
      </c>
      <c r="H24" s="659"/>
      <c r="I24" s="659"/>
      <c r="J24" s="659"/>
      <c r="K24" s="659"/>
      <c r="L24" s="501"/>
      <c r="M24" s="486"/>
      <c r="N24" s="486"/>
      <c r="O24" s="486"/>
      <c r="P24" s="486"/>
      <c r="Q24" s="487"/>
    </row>
    <row r="25" spans="1:17" ht="15.6">
      <c r="A25" s="296" t="s">
        <v>95</v>
      </c>
      <c r="B25" s="439" t="s">
        <v>5</v>
      </c>
      <c r="C25" s="466">
        <f t="shared" si="2"/>
        <v>0</v>
      </c>
      <c r="D25" s="637"/>
      <c r="E25" s="638"/>
      <c r="G25" s="493"/>
      <c r="H25" s="323"/>
      <c r="I25" s="486"/>
      <c r="J25" s="486"/>
      <c r="K25" s="486"/>
      <c r="L25" s="494" t="s">
        <v>260</v>
      </c>
      <c r="M25" s="486"/>
      <c r="N25" s="486"/>
      <c r="O25" s="486"/>
      <c r="P25" s="486"/>
      <c r="Q25" s="487"/>
    </row>
    <row r="26" spans="1:17" ht="15.6">
      <c r="A26" s="295" t="s">
        <v>96</v>
      </c>
      <c r="B26" s="437" t="s">
        <v>5</v>
      </c>
      <c r="C26" s="466">
        <f t="shared" si="2"/>
        <v>0</v>
      </c>
      <c r="D26" s="637"/>
      <c r="E26" s="638"/>
      <c r="G26" s="493"/>
      <c r="H26" s="323"/>
      <c r="I26" s="486"/>
      <c r="J26" s="486"/>
      <c r="K26" s="486"/>
      <c r="L26" s="494" t="s">
        <v>261</v>
      </c>
      <c r="M26" s="486"/>
      <c r="N26" s="486"/>
      <c r="O26" s="486"/>
      <c r="P26" s="486"/>
      <c r="Q26" s="487"/>
    </row>
    <row r="27" spans="1:17">
      <c r="A27" s="293" t="s">
        <v>98</v>
      </c>
      <c r="B27" s="438" t="s">
        <v>5</v>
      </c>
      <c r="C27" s="466">
        <f t="shared" si="2"/>
        <v>0</v>
      </c>
      <c r="D27" s="637"/>
      <c r="E27" s="638"/>
      <c r="G27" s="493"/>
      <c r="H27" s="323"/>
      <c r="I27" s="486"/>
      <c r="J27" s="486"/>
      <c r="K27" s="486"/>
      <c r="L27" s="494" t="s">
        <v>109</v>
      </c>
      <c r="M27" s="486"/>
      <c r="N27" s="486"/>
      <c r="O27" s="486"/>
      <c r="P27" s="486"/>
      <c r="Q27" s="487"/>
    </row>
    <row r="28" spans="1:17">
      <c r="A28" s="296" t="s">
        <v>220</v>
      </c>
      <c r="B28" s="439" t="s">
        <v>5</v>
      </c>
      <c r="C28" s="466">
        <f t="shared" si="2"/>
        <v>0</v>
      </c>
      <c r="D28" s="637"/>
      <c r="E28" s="638"/>
      <c r="G28" s="495" t="s">
        <v>5</v>
      </c>
      <c r="H28" s="496"/>
      <c r="I28" s="488"/>
      <c r="J28" s="488"/>
      <c r="K28" s="488"/>
      <c r="L28" s="488"/>
      <c r="M28" s="488"/>
      <c r="N28" s="488"/>
      <c r="O28" s="488"/>
      <c r="P28" s="488"/>
      <c r="Q28" s="489"/>
    </row>
    <row r="29" spans="1:17">
      <c r="A29" s="312" t="s">
        <v>99</v>
      </c>
      <c r="B29" s="440" t="s">
        <v>5</v>
      </c>
      <c r="C29" s="466">
        <f t="shared" si="2"/>
        <v>0</v>
      </c>
      <c r="D29" s="637"/>
      <c r="E29" s="638"/>
    </row>
    <row r="30" spans="1:17">
      <c r="A30" s="296" t="s">
        <v>100</v>
      </c>
      <c r="B30" s="439" t="s">
        <v>5</v>
      </c>
      <c r="C30" s="467">
        <f t="shared" si="2"/>
        <v>0</v>
      </c>
      <c r="D30" s="639"/>
      <c r="E30" s="640"/>
      <c r="F30" s="411"/>
    </row>
    <row r="31" spans="1:17">
      <c r="A31" s="304" t="s">
        <v>279</v>
      </c>
      <c r="B31" s="433">
        <v>1</v>
      </c>
    </row>
    <row r="32" spans="1:17">
      <c r="A32" s="307"/>
      <c r="B32" s="441"/>
      <c r="I32" s="365" t="s">
        <v>5</v>
      </c>
    </row>
    <row r="33" spans="1:7">
      <c r="A33" s="308" t="s">
        <v>117</v>
      </c>
      <c r="B33" s="442"/>
      <c r="F33" s="365" t="s">
        <v>5</v>
      </c>
    </row>
    <row r="34" spans="1:7">
      <c r="A34" s="309" t="s">
        <v>116</v>
      </c>
      <c r="B34" s="443">
        <v>4.2699999999999996</v>
      </c>
    </row>
    <row r="35" spans="1:7">
      <c r="A35" s="309" t="s">
        <v>324</v>
      </c>
      <c r="B35" s="443">
        <v>3.02</v>
      </c>
    </row>
    <row r="36" spans="1:7">
      <c r="A36" s="310" t="s">
        <v>65</v>
      </c>
      <c r="B36" s="444">
        <v>0.41399999999999998</v>
      </c>
    </row>
    <row r="37" spans="1:7">
      <c r="A37" s="311" t="s">
        <v>322</v>
      </c>
      <c r="B37" s="445"/>
      <c r="D37" s="635" t="str">
        <f>+IF(SUM('Input page'!C38:C40)&gt;1,"ERROR 3:  Select no more than one Exploration option","")</f>
        <v/>
      </c>
      <c r="E37" s="636"/>
    </row>
    <row r="38" spans="1:7">
      <c r="A38" s="315" t="s">
        <v>323</v>
      </c>
      <c r="B38" s="445" t="s">
        <v>5</v>
      </c>
      <c r="C38" s="335">
        <f t="shared" ref="C38" si="3">+IF(B38="x", 1, 0)</f>
        <v>0</v>
      </c>
      <c r="D38" s="637"/>
      <c r="E38" s="638"/>
      <c r="G38" s="367"/>
    </row>
    <row r="39" spans="1:7">
      <c r="A39" s="315" t="str">
        <f>+IF(B38="x", "Confirm. well success rate? - see comment -----&gt;","or")</f>
        <v>or</v>
      </c>
      <c r="B39" s="445" t="s">
        <v>5</v>
      </c>
      <c r="D39" s="637"/>
      <c r="E39" s="638"/>
    </row>
    <row r="40" spans="1:7" s="297" customFormat="1">
      <c r="A40" s="315" t="s">
        <v>198</v>
      </c>
      <c r="B40" s="446" t="s">
        <v>5</v>
      </c>
      <c r="C40" s="335">
        <f t="shared" ref="C40" si="4">+IF(B40="x", 1, 0)</f>
        <v>0</v>
      </c>
      <c r="D40" s="637"/>
      <c r="E40" s="638"/>
    </row>
    <row r="41" spans="1:7" s="297" customFormat="1">
      <c r="A41" s="337" t="str">
        <f>+IF(B40="x","Enter desired # of confirmation wells --------&gt;","")</f>
        <v/>
      </c>
      <c r="B41" s="446" t="s">
        <v>5</v>
      </c>
      <c r="C41" s="335"/>
      <c r="D41" s="639"/>
      <c r="E41" s="640"/>
      <c r="F41" s="334" t="s">
        <v>5</v>
      </c>
    </row>
    <row r="42" spans="1:7" s="335" customFormat="1">
      <c r="A42" s="338" t="s">
        <v>325</v>
      </c>
      <c r="B42" s="447"/>
    </row>
    <row r="43" spans="1:7" s="335" customFormat="1">
      <c r="A43" s="339" t="s">
        <v>331</v>
      </c>
      <c r="B43" s="448" t="s">
        <v>5</v>
      </c>
      <c r="C43" s="335">
        <f t="shared" ref="C43:C44" si="5">+IF(B43="x", 1, 0)</f>
        <v>0</v>
      </c>
    </row>
    <row r="44" spans="1:7" s="335" customFormat="1" ht="15" thickBot="1">
      <c r="A44" s="340" t="s">
        <v>330</v>
      </c>
      <c r="B44" s="449" t="s">
        <v>5</v>
      </c>
      <c r="C44" s="335">
        <f t="shared" si="5"/>
        <v>0</v>
      </c>
    </row>
    <row r="45" spans="1:7">
      <c r="A45" s="316"/>
    </row>
  </sheetData>
  <sheetProtection password="E109" sheet="1" objects="1" scenarios="1"/>
  <mergeCells count="13">
    <mergeCell ref="D9:E16"/>
    <mergeCell ref="D37:E41"/>
    <mergeCell ref="D1:L2"/>
    <mergeCell ref="D17:E30"/>
    <mergeCell ref="G5:Q5"/>
    <mergeCell ref="G6:Q6"/>
    <mergeCell ref="G7:Q7"/>
    <mergeCell ref="H8:Q8"/>
    <mergeCell ref="G9:Q9"/>
    <mergeCell ref="G11:Q11"/>
    <mergeCell ref="G10:Q10"/>
    <mergeCell ref="G12:Q12"/>
    <mergeCell ref="G24:K2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tabColor theme="6" tint="-0.499984740745262"/>
  </sheetPr>
  <dimension ref="A2:AH38"/>
  <sheetViews>
    <sheetView tabSelected="1" workbookViewId="0">
      <selection activeCell="I30" sqref="I29:I30"/>
    </sheetView>
  </sheetViews>
  <sheetFormatPr defaultRowHeight="14.4"/>
  <cols>
    <col min="1" max="1" width="22" customWidth="1"/>
    <col min="2" max="2" width="17.6640625" customWidth="1"/>
    <col min="3" max="3" width="13.44140625" customWidth="1"/>
    <col min="4" max="4" width="11.44140625" customWidth="1"/>
    <col min="5" max="5" width="10.6640625" customWidth="1"/>
    <col min="6" max="7" width="9.33203125" bestFit="1" customWidth="1"/>
    <col min="8" max="8" width="10" bestFit="1" customWidth="1"/>
    <col min="9" max="9" width="9.33203125" bestFit="1" customWidth="1"/>
    <col min="10" max="10" width="10" customWidth="1"/>
    <col min="11" max="11" width="11.6640625" customWidth="1"/>
    <col min="12" max="24" width="9.33203125" bestFit="1" customWidth="1"/>
    <col min="25" max="25" width="13.6640625" customWidth="1"/>
  </cols>
  <sheetData>
    <row r="2" spans="1:25">
      <c r="C2" s="168" t="s">
        <v>6</v>
      </c>
      <c r="D2" s="169" t="s">
        <v>7</v>
      </c>
      <c r="E2" s="169" t="s">
        <v>8</v>
      </c>
      <c r="F2" s="169" t="s">
        <v>9</v>
      </c>
      <c r="G2" s="169" t="s">
        <v>10</v>
      </c>
      <c r="H2" s="169" t="s">
        <v>11</v>
      </c>
      <c r="I2" s="169" t="s">
        <v>222</v>
      </c>
      <c r="J2" s="169" t="s">
        <v>222</v>
      </c>
      <c r="K2" s="169" t="s">
        <v>222</v>
      </c>
      <c r="L2" s="169" t="s">
        <v>12</v>
      </c>
      <c r="M2" s="169" t="s">
        <v>13</v>
      </c>
      <c r="N2" s="169" t="s">
        <v>14</v>
      </c>
      <c r="O2" s="169" t="s">
        <v>15</v>
      </c>
      <c r="P2" s="169" t="s">
        <v>16</v>
      </c>
      <c r="Q2" s="169" t="s">
        <v>71</v>
      </c>
      <c r="R2" s="169" t="s">
        <v>17</v>
      </c>
      <c r="S2" s="169" t="s">
        <v>18</v>
      </c>
      <c r="T2" s="169" t="s">
        <v>19</v>
      </c>
      <c r="U2" s="169" t="s">
        <v>20</v>
      </c>
      <c r="V2" s="169" t="s">
        <v>21</v>
      </c>
      <c r="W2" s="169" t="s">
        <v>22</v>
      </c>
      <c r="X2" s="169" t="s">
        <v>23</v>
      </c>
      <c r="Y2" s="170" t="s">
        <v>24</v>
      </c>
    </row>
    <row r="3" spans="1:25">
      <c r="A3" t="s">
        <v>55</v>
      </c>
      <c r="C3" s="8" t="s">
        <v>25</v>
      </c>
      <c r="D3" s="9" t="s">
        <v>25</v>
      </c>
      <c r="E3" s="9" t="s">
        <v>25</v>
      </c>
      <c r="F3" s="9" t="s">
        <v>25</v>
      </c>
      <c r="G3" s="9" t="s">
        <v>26</v>
      </c>
      <c r="H3" s="9" t="s">
        <v>27</v>
      </c>
      <c r="I3" s="9" t="s">
        <v>5</v>
      </c>
      <c r="J3" s="9" t="s">
        <v>5</v>
      </c>
      <c r="K3" s="9" t="s">
        <v>5</v>
      </c>
      <c r="L3" s="9" t="s">
        <v>25</v>
      </c>
      <c r="M3" s="9" t="s">
        <v>25</v>
      </c>
      <c r="N3" s="9" t="s">
        <v>25</v>
      </c>
      <c r="O3" s="9" t="s">
        <v>25</v>
      </c>
      <c r="P3" s="9" t="s">
        <v>25</v>
      </c>
      <c r="Q3" s="9" t="s">
        <v>25</v>
      </c>
      <c r="R3" s="9" t="s">
        <v>25</v>
      </c>
      <c r="S3" s="9" t="s">
        <v>25</v>
      </c>
      <c r="T3" s="9" t="s">
        <v>25</v>
      </c>
      <c r="U3" s="10" t="s">
        <v>25</v>
      </c>
      <c r="V3" s="10" t="s">
        <v>25</v>
      </c>
      <c r="W3" s="10" t="s">
        <v>25</v>
      </c>
      <c r="X3" s="10" t="s">
        <v>25</v>
      </c>
      <c r="Y3" s="167" t="s">
        <v>34</v>
      </c>
    </row>
    <row r="5" spans="1:25">
      <c r="A5" t="s">
        <v>56</v>
      </c>
      <c r="B5" t="s">
        <v>110</v>
      </c>
      <c r="C5" s="16">
        <f>+'Input page'!$B$5*('Matrl Rate Tables'!D13*factor1+'Matrl Rate Tables'!D6*factor2+'Matrl Rate Tables'!D13*factor3+'Matrl Rate Tables'!D18*factor4+'Matrl Rate Tables'!D26*(factor5+factor6))</f>
        <v>0</v>
      </c>
      <c r="D5" s="16">
        <f>+'Input page'!$B$5*('Matrl Rate Tables'!E13*factor1+'Matrl Rate Tables'!E6*factor2+'Matrl Rate Tables'!E13*factor3+'Matrl Rate Tables'!E18*factor4+'Matrl Rate Tables'!E26*(factor5+factor6))</f>
        <v>0</v>
      </c>
      <c r="E5" s="16">
        <f>+'Input page'!$B$5*('Matrl Rate Tables'!F13*factor1+'Matrl Rate Tables'!F6*factor2+'Matrl Rate Tables'!F13*factor3+'Matrl Rate Tables'!F18*factor4+'Matrl Rate Tables'!F26*(factor5+factor6))</f>
        <v>1590</v>
      </c>
      <c r="F5" s="16">
        <f>+'Input page'!$B$5*('Matrl Rate Tables'!G13*factor1+'Matrl Rate Tables'!G6*factor2+'Matrl Rate Tables'!G13*factor3+'Matrl Rate Tables'!G18*factor4+'Matrl Rate Tables'!G26*(factor5+factor6))</f>
        <v>1.7000000000000002</v>
      </c>
      <c r="G5" s="16">
        <f>+'Input page'!$B$5*('Matrl Rate Tables'!H13*factor1+'Matrl Rate Tables'!H6*factor2+'Matrl Rate Tables'!H13*factor3+'Matrl Rate Tables'!H18*factor4+'Matrl Rate Tables'!H26*(factor5+factor6))</f>
        <v>13</v>
      </c>
      <c r="H5" s="16">
        <f>+'Input page'!$B$5*('Matrl Rate Tables'!I13*factor1+'Matrl Rate Tables'!I6*factor2+'Matrl Rate Tables'!I13*factor3+'Matrl Rate Tables'!I18*factor4+'Matrl Rate Tables'!I26*(factor5+factor6))</f>
        <v>10420</v>
      </c>
      <c r="I5" s="16">
        <f>+'Input page'!$B$5*('Matrl Rate Tables'!J13*factor1+'Matrl Rate Tables'!J6*factor2+'Matrl Rate Tables'!J13*factor3+'Matrl Rate Tables'!J18*factor4+'Matrl Rate Tables'!J26*(factor5+factor6))</f>
        <v>0</v>
      </c>
      <c r="J5" s="16">
        <f>+'Input page'!$B$5*('Matrl Rate Tables'!K13*factor1+'Matrl Rate Tables'!K6*factor2+'Matrl Rate Tables'!K13*factor3+'Matrl Rate Tables'!K18*factor4+'Matrl Rate Tables'!K26*(factor5+factor6))</f>
        <v>0</v>
      </c>
      <c r="K5" s="16">
        <f>+'Input page'!$B$5*('Matrl Rate Tables'!L13*factor1+'Matrl Rate Tables'!L6*factor2+'Matrl Rate Tables'!L13*factor3+'Matrl Rate Tables'!L18*factor4+'Matrl Rate Tables'!L26*(factor5+factor6))</f>
        <v>0</v>
      </c>
      <c r="L5" s="16">
        <f>+'Input page'!$B$5*('Matrl Rate Tables'!M13*factor1+'Matrl Rate Tables'!M6*factor2+'Matrl Rate Tables'!M13*factor3+'Matrl Rate Tables'!M18*factor4+'Matrl Rate Tables'!M26*(factor5+factor6))</f>
        <v>0</v>
      </c>
      <c r="M5" s="16">
        <f>+'Input page'!$B$5*('Matrl Rate Tables'!N13*factor1+'Matrl Rate Tables'!N6*factor2+'Matrl Rate Tables'!N13*factor3+'Matrl Rate Tables'!N18*factor4+'Matrl Rate Tables'!N26*(factor5+factor6))</f>
        <v>16.100000000000001</v>
      </c>
      <c r="N5" s="16">
        <f>+'Input page'!$B$5*('Matrl Rate Tables'!O13*factor1+'Matrl Rate Tables'!O6*factor2+'Matrl Rate Tables'!O13*factor3+'Matrl Rate Tables'!O18*factor4+'Matrl Rate Tables'!O26*(factor5+factor6))</f>
        <v>0</v>
      </c>
      <c r="O5" s="16">
        <f>+'Input page'!$B$5*('Matrl Rate Tables'!P13*factor1+'Matrl Rate Tables'!P6*factor2+'Matrl Rate Tables'!P13*factor3+'Matrl Rate Tables'!P18*factor4+'Matrl Rate Tables'!P26*(factor5+factor6))</f>
        <v>0</v>
      </c>
      <c r="P5" s="16">
        <f>+'Input page'!$B$5*('Matrl Rate Tables'!Q13*factor1+'Matrl Rate Tables'!Q6*factor2+'Matrl Rate Tables'!Q13*factor3+'Matrl Rate Tables'!Q18*factor4+'Matrl Rate Tables'!Q26*(factor5+factor6))</f>
        <v>0</v>
      </c>
      <c r="Q5" s="16">
        <f>+'Input page'!$B$5*('Matrl Rate Tables'!R13*factor1+'Matrl Rate Tables'!R6*factor2+'Matrl Rate Tables'!R13*factor3+'Matrl Rate Tables'!R18*factor4+'Matrl Rate Tables'!R26*(factor5+factor6))</f>
        <v>0</v>
      </c>
      <c r="R5" s="16">
        <f>+'Input page'!$B$5*('Matrl Rate Tables'!S13*factor1+'Matrl Rate Tables'!S6*factor2+'Matrl Rate Tables'!S13*factor3+'Matrl Rate Tables'!S18*factor4+'Matrl Rate Tables'!S26*(factor5+factor6))</f>
        <v>0</v>
      </c>
      <c r="S5" s="16">
        <f>+'Input page'!$B$5*('Matrl Rate Tables'!T13*factor1+'Matrl Rate Tables'!T6*factor2+'Matrl Rate Tables'!T13*factor3+'Matrl Rate Tables'!T18*factor4+'Matrl Rate Tables'!T26*(factor5+factor6))</f>
        <v>0</v>
      </c>
      <c r="T5" s="16">
        <f>+'Input page'!$B$5*('Matrl Rate Tables'!U13*factor1+'Matrl Rate Tables'!U6*factor2+'Matrl Rate Tables'!U13*factor3+'Matrl Rate Tables'!U18*factor4+'Matrl Rate Tables'!U26*(factor5+factor6))</f>
        <v>248</v>
      </c>
      <c r="U5" s="16">
        <f>+'Input page'!$B$5*('Matrl Rate Tables'!V13*factor1+'Matrl Rate Tables'!V6*factor2+'Matrl Rate Tables'!V13*factor3+'Matrl Rate Tables'!V18*factor4+'Matrl Rate Tables'!V26*(factor5+factor6))</f>
        <v>104</v>
      </c>
      <c r="V5" s="16">
        <f>+'Input page'!$B$5*('Matrl Rate Tables'!W13*factor1+'Matrl Rate Tables'!W6*factor2+'Matrl Rate Tables'!W13*factor3+'Matrl Rate Tables'!W18*factor4+'Matrl Rate Tables'!W26*(factor5+factor6))</f>
        <v>0</v>
      </c>
      <c r="W5" s="16">
        <f>+'Input page'!$B$5*('Matrl Rate Tables'!X13*factor1+'Matrl Rate Tables'!X6*factor2+'Matrl Rate Tables'!X13*factor3+'Matrl Rate Tables'!X18*factor4+'Matrl Rate Tables'!X26*(factor5+factor6))</f>
        <v>0</v>
      </c>
      <c r="X5" s="16">
        <f>+'Input page'!$B$5*('Matrl Rate Tables'!Y13*factor1+'Matrl Rate Tables'!Y6*factor2+'Matrl Rate Tables'!Y13*factor3+'Matrl Rate Tables'!Y18*factor4+'Matrl Rate Tables'!Y26*(factor5+factor6))</f>
        <v>0</v>
      </c>
      <c r="Y5" s="16">
        <f>+'Input page'!$B$5*('Matrl Rate Tables'!Z13*factor1+'Matrl Rate Tables'!Z6*factor2+'Matrl Rate Tables'!Z13*factor3+'Matrl Rate Tables'!Z18*factor4+'Matrl Rate Tables'!Z26*(factor5+factor6))</f>
        <v>36459.709379128137</v>
      </c>
    </row>
    <row r="6" spans="1:25">
      <c r="A6" t="s">
        <v>57</v>
      </c>
      <c r="B6" t="s">
        <v>111</v>
      </c>
      <c r="C6" s="14"/>
      <c r="D6" s="14">
        <f>+'Input page'!$B$35*'Input page'!$B$31*('Matrl Rate Tables'!E20*factor1+'Matrl Rate Tables'!E8*factor2+'Matrl Rate Tables'!E15*factor3+'Matrl Rate Tables'!E20*factor4+'Matrl Rate Tables'!E28*(factor5+factor6))</f>
        <v>159.75800000000001</v>
      </c>
      <c r="E6" s="14"/>
      <c r="F6" s="14"/>
      <c r="G6" s="14"/>
      <c r="H6" s="14">
        <f>+'Input page'!$B$35*'Input page'!$B$31*('Matrl Rate Tables'!I20*factor1+'Matrl Rate Tables'!I8*factor2+'Matrl Rate Tables'!I15*factor3+'Matrl Rate Tables'!I20*factor4+'Matrl Rate Tables'!I28*(factor5+factor6))</f>
        <v>12351.8</v>
      </c>
      <c r="I6" s="14"/>
      <c r="J6" s="14"/>
      <c r="K6" s="14"/>
      <c r="L6" s="14">
        <f>+'Input page'!$B$35*'Input page'!$B$31*('Matrl Rate Tables'!M20*factor1+'Matrl Rate Tables'!M8*factor2+'Matrl Rate Tables'!M15*factor3+'Matrl Rate Tables'!M20*factor4+'Matrl Rate Tables'!M28*(factor5+factor6))</f>
        <v>10.267999999999999</v>
      </c>
      <c r="M6" s="14"/>
      <c r="N6" s="14"/>
      <c r="O6" s="14"/>
      <c r="P6" s="14"/>
      <c r="Q6" s="14"/>
      <c r="R6" s="14"/>
      <c r="S6" s="14"/>
      <c r="T6" s="14">
        <f>+'Input page'!$B$35*'Input page'!$B$31*('Matrl Rate Tables'!U20*factor1+'Matrl Rate Tables'!U8*factor2+'Matrl Rate Tables'!U15*factor3+'Matrl Rate Tables'!U20*factor4+'Matrl Rate Tables'!U28*(factor5+factor6))</f>
        <v>157.946</v>
      </c>
      <c r="U6" s="14"/>
      <c r="V6" s="14"/>
      <c r="W6" s="14"/>
      <c r="X6" s="14"/>
      <c r="Y6" s="14">
        <f>+'Input page'!$B$35*'Input page'!$B$31*('Matrl Rate Tables'!Z20*factor1+'Matrl Rate Tables'!Z8*factor2+'Matrl Rate Tables'!Z15*factor3+'Matrl Rate Tables'!Z20*factor4+'Matrl Rate Tables'!Z28*(factor5+factor6))</f>
        <v>18633.400000000001</v>
      </c>
    </row>
    <row r="7" spans="1:25">
      <c r="A7" t="s">
        <v>1</v>
      </c>
      <c r="B7" s="365" t="s">
        <v>265</v>
      </c>
      <c r="C7" s="14"/>
      <c r="D7" s="14">
        <f>+'Matl=f(depth)'!E39*'Input page'!B34</f>
        <v>597.67590209313573</v>
      </c>
      <c r="F7" s="14"/>
      <c r="G7" s="14"/>
      <c r="H7" s="14">
        <f>+'Matl=f(depth)'!E41*'Input page'!B34</f>
        <v>324628.56133497617</v>
      </c>
      <c r="I7" s="14"/>
      <c r="J7" s="14"/>
      <c r="K7" s="14"/>
      <c r="L7" s="14"/>
      <c r="M7" s="14"/>
      <c r="N7" s="14"/>
      <c r="O7" s="14"/>
      <c r="P7" s="14"/>
      <c r="Q7" s="14"/>
      <c r="R7" s="14"/>
      <c r="S7" s="14"/>
      <c r="T7" s="14">
        <f>+'Matl=f(depth)'!E40*'Input page'!B34</f>
        <v>904.24478248629271</v>
      </c>
      <c r="U7" s="14"/>
      <c r="V7" s="14"/>
      <c r="W7" s="14"/>
      <c r="X7" s="14"/>
      <c r="Y7" s="14">
        <f>+'Matl=f(depth)'!E42*'Input page'!B34</f>
        <v>1533266.5482674241</v>
      </c>
    </row>
    <row r="8" spans="1:25">
      <c r="A8" t="s">
        <v>72</v>
      </c>
      <c r="B8" t="s">
        <v>113</v>
      </c>
      <c r="C8" s="14"/>
      <c r="D8" s="14"/>
      <c r="E8" s="14"/>
      <c r="F8" s="16">
        <f>+(factor2*'Matrl Rate Tables'!G7+factor4*'Matrl Rate Tables'!G19+(factor5+factor6)*'Matrl Rate Tables'!G27)*'Input page'!$B$35</f>
        <v>0</v>
      </c>
      <c r="G8" s="14"/>
      <c r="H8" s="14"/>
      <c r="I8" s="14"/>
      <c r="J8" s="14"/>
      <c r="K8" s="14"/>
      <c r="L8" s="14"/>
      <c r="M8" s="14"/>
      <c r="N8" s="14"/>
      <c r="O8" s="14"/>
      <c r="P8" s="14"/>
      <c r="Q8" s="16">
        <f>+(factor2*'Matrl Rate Tables'!R7+factor4*'Matrl Rate Tables'!R19+(factor5+factor6)*'Matrl Rate Tables'!R27)*'Input page'!$B$35</f>
        <v>0</v>
      </c>
      <c r="R8" s="14"/>
      <c r="S8" s="14"/>
      <c r="T8" s="14">
        <f>+(factor2*'Matrl Rate Tables'!U7+factor4*'Matrl Rate Tables'!U19+(factor6+factor5)*'Matrl Rate Tables'!U27)*'Input page'!$B$35</f>
        <v>0</v>
      </c>
      <c r="U8" s="14"/>
      <c r="V8" s="14"/>
      <c r="W8" s="14"/>
      <c r="X8" s="14"/>
      <c r="Y8" s="14"/>
    </row>
    <row r="9" spans="1:25">
      <c r="A9" t="s">
        <v>64</v>
      </c>
      <c r="B9" t="s">
        <v>112</v>
      </c>
      <c r="C9" s="136"/>
      <c r="D9" s="136"/>
      <c r="E9" s="136"/>
      <c r="F9" s="136"/>
      <c r="G9" s="136"/>
      <c r="H9" s="14">
        <f>+'Input page'!$B$35*'Input page'!$B$36*('Matrl Rate Tables'!I9*(factor1+factor2)+'Matrl Rate Tables'!I29*factor5)</f>
        <v>148120.67159999997</v>
      </c>
      <c r="I9" s="136"/>
      <c r="J9" s="136"/>
      <c r="K9" s="395" t="s">
        <v>5</v>
      </c>
      <c r="L9" s="136"/>
      <c r="M9" s="136"/>
      <c r="N9" s="136"/>
      <c r="O9" s="136"/>
      <c r="P9" s="136"/>
      <c r="Q9" s="136"/>
      <c r="R9" s="136"/>
      <c r="S9" s="136"/>
      <c r="T9" s="136"/>
      <c r="U9" s="136"/>
      <c r="V9" s="136"/>
      <c r="W9" s="136"/>
      <c r="X9" s="136"/>
      <c r="Y9" s="14">
        <f>+'Input page'!$B$35*'Input page'!$B$36*('Matrl Rate Tables'!Z9*(factor1+factor2)+'Matrl Rate Tables'!Z29*factor5)</f>
        <v>6413936.3999999994</v>
      </c>
    </row>
    <row r="10" spans="1:25">
      <c r="A10" t="s">
        <v>58</v>
      </c>
      <c r="B10" s="365" t="s">
        <v>264</v>
      </c>
      <c r="C10" s="14"/>
      <c r="D10" s="14">
        <f>+'Matl=f(depth)'!E39*Expltn_calc!$C$24+Expltn_calc!B36</f>
        <v>8.5050000000000001E-14</v>
      </c>
      <c r="E10" s="14"/>
      <c r="F10" s="14"/>
      <c r="G10" s="14"/>
      <c r="H10" s="14">
        <f>+'Matl=f(depth)'!E41*Expltn_calc!C24+Expltn_calc!C36</f>
        <v>2.0879999999999998E-13</v>
      </c>
      <c r="I10" s="14"/>
      <c r="J10" s="14"/>
      <c r="K10" s="14"/>
      <c r="L10" s="14"/>
      <c r="M10" s="14"/>
      <c r="N10" s="14"/>
      <c r="O10" s="14"/>
      <c r="P10" s="14"/>
      <c r="Q10" s="14"/>
      <c r="R10" s="14"/>
      <c r="S10" s="14"/>
      <c r="T10" s="16">
        <f>+'Matl=f(depth)'!E40*Expltn_calc!C24+Expltn_calc!D36</f>
        <v>6.0660000000000006E-13</v>
      </c>
      <c r="U10" s="14"/>
      <c r="V10" s="14"/>
      <c r="W10" s="14"/>
      <c r="X10" s="14"/>
      <c r="Y10" s="14">
        <f>+'Matl=f(depth)'!E42*Expltn_calc!C24+Expltn_calc!E36</f>
        <v>4.415587846763541E-10</v>
      </c>
    </row>
    <row r="11" spans="1:25">
      <c r="A11" t="s">
        <v>157</v>
      </c>
    </row>
    <row r="12" spans="1:25">
      <c r="A12" s="316" t="s">
        <v>158</v>
      </c>
      <c r="C12" s="16"/>
      <c r="D12" s="14">
        <f>+'Matl=f(depth)'!F39*'Input page'!$B$34*'Input page'!C43</f>
        <v>0</v>
      </c>
      <c r="E12" s="335"/>
      <c r="F12" s="335"/>
      <c r="G12" s="335"/>
      <c r="H12" s="14">
        <f>+'Matl=f(depth)'!F41*'Input page'!$B$34*'Input page'!C43</f>
        <v>0</v>
      </c>
      <c r="I12" s="335"/>
      <c r="J12" s="335"/>
      <c r="K12" s="335"/>
      <c r="L12" s="335"/>
      <c r="M12" s="335"/>
      <c r="N12" s="335"/>
      <c r="O12" s="335"/>
      <c r="P12" s="335"/>
      <c r="Q12" s="335"/>
      <c r="R12" s="335"/>
      <c r="S12" s="335"/>
      <c r="T12" s="14">
        <f>+'Matl=f(depth)'!F40*'Input page'!$B$34*'Input page'!C43</f>
        <v>0</v>
      </c>
      <c r="U12" s="335"/>
      <c r="V12" s="335"/>
      <c r="W12" s="335"/>
      <c r="X12" s="335"/>
      <c r="Y12" s="14">
        <f>+'Matl=f(depth)'!F42*'Input page'!$B$34*'Input page'!C43</f>
        <v>0</v>
      </c>
    </row>
    <row r="13" spans="1:25">
      <c r="A13" s="316" t="s">
        <v>58</v>
      </c>
      <c r="C13" s="335"/>
      <c r="D13" s="14">
        <f>+Expltn_calc!B38</f>
        <v>0</v>
      </c>
      <c r="E13" s="335"/>
      <c r="F13" s="335"/>
      <c r="G13" s="335"/>
      <c r="H13" s="14">
        <f>+Expltn_calc!D38</f>
        <v>0</v>
      </c>
      <c r="I13" s="335"/>
      <c r="J13" s="335"/>
      <c r="K13" s="335"/>
      <c r="L13" s="335"/>
      <c r="M13" s="335"/>
      <c r="N13" s="335"/>
      <c r="O13" s="335"/>
      <c r="P13" s="335"/>
      <c r="Q13" s="335"/>
      <c r="R13" s="335"/>
      <c r="S13" s="335"/>
      <c r="T13" s="14">
        <f>+Expltn_calc!C38</f>
        <v>0</v>
      </c>
      <c r="U13" s="335"/>
      <c r="V13" s="335"/>
      <c r="W13" s="335"/>
      <c r="X13" s="335"/>
      <c r="Y13" s="14">
        <f>+Expltn_calc!E38</f>
        <v>0</v>
      </c>
    </row>
    <row r="14" spans="1:25" s="365" customFormat="1" ht="15" thickBot="1">
      <c r="A14" s="316"/>
      <c r="C14" s="465"/>
      <c r="D14" s="14"/>
      <c r="E14" s="465"/>
      <c r="F14" s="465"/>
      <c r="G14" s="465"/>
      <c r="H14" s="14"/>
      <c r="I14" s="465"/>
      <c r="J14" s="465"/>
      <c r="K14" s="465"/>
      <c r="L14" s="465"/>
      <c r="M14" s="465"/>
      <c r="N14" s="465"/>
      <c r="O14" s="465"/>
      <c r="P14" s="465"/>
      <c r="Q14" s="465"/>
      <c r="R14" s="465"/>
      <c r="S14" s="465"/>
      <c r="T14" s="14"/>
      <c r="U14" s="465"/>
      <c r="V14" s="465"/>
      <c r="W14" s="465"/>
      <c r="X14" s="465"/>
      <c r="Y14" s="14"/>
    </row>
    <row r="15" spans="1:25" s="365" customFormat="1" ht="18.600000000000001" thickBot="1">
      <c r="A15" s="660" t="s">
        <v>270</v>
      </c>
      <c r="B15" s="661"/>
      <c r="C15" s="661"/>
      <c r="D15" s="661"/>
      <c r="E15" s="661"/>
      <c r="F15" s="661"/>
      <c r="G15" s="661"/>
      <c r="H15" s="661"/>
      <c r="I15" s="661"/>
      <c r="J15" s="661"/>
      <c r="K15" s="661"/>
      <c r="L15" s="662"/>
      <c r="M15" s="465"/>
      <c r="N15" s="465"/>
      <c r="O15" s="465"/>
      <c r="P15" s="465"/>
      <c r="Q15" s="465"/>
      <c r="R15" s="465"/>
      <c r="S15" s="465"/>
      <c r="T15" s="14"/>
      <c r="U15" s="465"/>
      <c r="V15" s="465"/>
      <c r="W15" s="465"/>
      <c r="X15" s="465"/>
      <c r="Y15" s="14"/>
    </row>
    <row r="16" spans="1:25" s="365" customFormat="1">
      <c r="A16" s="316"/>
      <c r="C16" s="465"/>
      <c r="D16" s="14"/>
      <c r="E16" s="465"/>
      <c r="F16" s="465"/>
      <c r="G16" s="465"/>
      <c r="H16" s="14"/>
      <c r="I16" s="465"/>
      <c r="J16" s="465"/>
      <c r="K16" s="465"/>
      <c r="L16" s="465"/>
      <c r="M16" s="465"/>
      <c r="N16" s="465"/>
      <c r="O16" s="465"/>
      <c r="P16" s="465"/>
      <c r="Q16" s="465"/>
      <c r="R16" s="465"/>
      <c r="S16" s="465"/>
      <c r="T16" s="14"/>
      <c r="U16" s="465"/>
      <c r="V16" s="465"/>
      <c r="W16" s="465"/>
      <c r="X16" s="465"/>
      <c r="Y16" s="14"/>
    </row>
    <row r="17" spans="1:27" s="365" customFormat="1">
      <c r="A17" s="663" t="s">
        <v>109</v>
      </c>
      <c r="B17" s="664"/>
      <c r="C17" s="515" t="s">
        <v>6</v>
      </c>
      <c r="D17" s="515" t="s">
        <v>7</v>
      </c>
      <c r="E17" s="515" t="s">
        <v>8</v>
      </c>
      <c r="F17" s="515" t="s">
        <v>9</v>
      </c>
      <c r="G17" s="515" t="s">
        <v>10</v>
      </c>
      <c r="H17" s="515" t="s">
        <v>11</v>
      </c>
      <c r="I17" s="515" t="s">
        <v>222</v>
      </c>
      <c r="J17" s="515" t="s">
        <v>222</v>
      </c>
      <c r="K17" s="515" t="s">
        <v>222</v>
      </c>
      <c r="L17" s="515" t="s">
        <v>12</v>
      </c>
      <c r="M17" s="515" t="s">
        <v>13</v>
      </c>
      <c r="N17" s="515" t="s">
        <v>14</v>
      </c>
      <c r="O17" s="515" t="s">
        <v>15</v>
      </c>
      <c r="P17" s="515" t="s">
        <v>16</v>
      </c>
      <c r="Q17" s="515" t="s">
        <v>71</v>
      </c>
      <c r="R17" s="515" t="s">
        <v>17</v>
      </c>
      <c r="S17" s="515" t="s">
        <v>18</v>
      </c>
      <c r="T17" s="515" t="s">
        <v>19</v>
      </c>
      <c r="U17" s="515" t="s">
        <v>20</v>
      </c>
      <c r="V17" s="515" t="s">
        <v>21</v>
      </c>
      <c r="W17" s="515" t="s">
        <v>22</v>
      </c>
      <c r="X17" s="515" t="s">
        <v>23</v>
      </c>
      <c r="Y17" s="516" t="s">
        <v>24</v>
      </c>
    </row>
    <row r="18" spans="1:27">
      <c r="A18" s="665"/>
      <c r="B18" s="666"/>
      <c r="C18" s="513" t="s">
        <v>43</v>
      </c>
      <c r="D18" s="513" t="s">
        <v>43</v>
      </c>
      <c r="E18" s="513" t="s">
        <v>43</v>
      </c>
      <c r="F18" s="513" t="s">
        <v>43</v>
      </c>
      <c r="G18" s="513" t="s">
        <v>268</v>
      </c>
      <c r="H18" s="513" t="s">
        <v>269</v>
      </c>
      <c r="I18" s="513" t="s">
        <v>5</v>
      </c>
      <c r="J18" s="513" t="s">
        <v>5</v>
      </c>
      <c r="K18" s="513" t="s">
        <v>5</v>
      </c>
      <c r="L18" s="513" t="s">
        <v>43</v>
      </c>
      <c r="M18" s="513" t="s">
        <v>43</v>
      </c>
      <c r="N18" s="513" t="s">
        <v>43</v>
      </c>
      <c r="O18" s="513" t="s">
        <v>43</v>
      </c>
      <c r="P18" s="513" t="s">
        <v>43</v>
      </c>
      <c r="Q18" s="513" t="s">
        <v>43</v>
      </c>
      <c r="R18" s="513" t="s">
        <v>43</v>
      </c>
      <c r="S18" s="513" t="s">
        <v>43</v>
      </c>
      <c r="T18" s="513" t="s">
        <v>43</v>
      </c>
      <c r="U18" s="513" t="s">
        <v>43</v>
      </c>
      <c r="V18" s="513" t="s">
        <v>43</v>
      </c>
      <c r="W18" s="513" t="s">
        <v>43</v>
      </c>
      <c r="X18" s="513" t="s">
        <v>43</v>
      </c>
      <c r="Y18" s="514" t="s">
        <v>267</v>
      </c>
      <c r="AA18" t="s">
        <v>5</v>
      </c>
    </row>
    <row r="19" spans="1:27">
      <c r="A19" s="667"/>
      <c r="B19" s="668"/>
      <c r="C19" s="511">
        <f>+SUM(C$5:C$10)/'Input page'!$B$5</f>
        <v>0</v>
      </c>
      <c r="D19" s="512">
        <f>+SUM(D$5:D$10)/'Input page'!$B$5</f>
        <v>75.743390209313588</v>
      </c>
      <c r="E19" s="511">
        <f>+SUM(E$5:E$10)/'Input page'!$B$5</f>
        <v>159</v>
      </c>
      <c r="F19" s="511">
        <f>+SUM(F$5:F$10)/'Input page'!$B$5</f>
        <v>0.17</v>
      </c>
      <c r="G19" s="511">
        <f>+SUM(G$5:G$10)/'Input page'!$B$5</f>
        <v>1.3</v>
      </c>
      <c r="H19" s="512">
        <f>+SUM(H$5:H$10)/'Input page'!$B$5</f>
        <v>49552.103293497617</v>
      </c>
      <c r="I19" s="511">
        <f>+SUM(I$5:I$10)/'Input page'!$B$5</f>
        <v>0</v>
      </c>
      <c r="J19" s="511">
        <f>+SUM(J$5:J$10)/'Input page'!$B$5</f>
        <v>0</v>
      </c>
      <c r="K19" s="511">
        <f>+SUM(K$5:K$10)/'Input page'!$B$5</f>
        <v>0</v>
      </c>
      <c r="L19" s="511">
        <f>+SUM(L$5:L$10)/'Input page'!$B$5</f>
        <v>1.0267999999999999</v>
      </c>
      <c r="M19" s="511">
        <f>+SUM(M$5:M$10)/'Input page'!$B$5</f>
        <v>1.61</v>
      </c>
      <c r="N19" s="511">
        <f>+SUM(N$5:N$10)/'Input page'!$B$5</f>
        <v>0</v>
      </c>
      <c r="O19" s="511">
        <f>+SUM(O$5:O$10)/'Input page'!$B$5</f>
        <v>0</v>
      </c>
      <c r="P19" s="511">
        <f>+SUM(P$5:P$10)/'Input page'!$B$5</f>
        <v>0</v>
      </c>
      <c r="Q19" s="511">
        <f>+SUM(Q$5:Q$10)/'Input page'!$B$5</f>
        <v>0</v>
      </c>
      <c r="R19" s="511">
        <f>+SUM(R$5:R$10)/'Input page'!$B$5</f>
        <v>0</v>
      </c>
      <c r="S19" s="511">
        <f>+SUM(S$5:S$10)/'Input page'!$B$5</f>
        <v>0</v>
      </c>
      <c r="T19" s="511">
        <f>+SUM(T$5:T$10)/'Input page'!$B$5</f>
        <v>131.01907824862934</v>
      </c>
      <c r="U19" s="511">
        <f>+SUM(U$5:U$10)/'Input page'!$B$5</f>
        <v>10.4</v>
      </c>
      <c r="V19" s="511">
        <f>+SUM(V$5:V$10)/'Input page'!$B$5</f>
        <v>0</v>
      </c>
      <c r="W19" s="511">
        <f>+SUM(W$5:W$10)/'Input page'!$B$5</f>
        <v>0</v>
      </c>
      <c r="X19" s="511">
        <f>+SUM(X$5:X$10)/'Input page'!$B$5</f>
        <v>0</v>
      </c>
      <c r="Y19" s="512">
        <f>+SUM(Y$5:Y$10)/'Input page'!$B$5</f>
        <v>800229.60576465516</v>
      </c>
    </row>
    <row r="20" spans="1:27" hidden="1">
      <c r="B20" s="331" t="s">
        <v>159</v>
      </c>
      <c r="C20" s="238">
        <f>+C$19</f>
        <v>0</v>
      </c>
      <c r="D20" s="239">
        <f>+D$19+(D12+D13)/'Input page'!$B$5</f>
        <v>75.743390209313588</v>
      </c>
      <c r="E20" s="238">
        <f t="shared" ref="E20:X21" si="0">+E$19</f>
        <v>159</v>
      </c>
      <c r="F20" s="238">
        <f t="shared" si="0"/>
        <v>0.17</v>
      </c>
      <c r="G20" s="238">
        <f t="shared" si="0"/>
        <v>1.3</v>
      </c>
      <c r="H20" s="239">
        <f>+H$19+(H12+H13)/'Input page'!$B$5</f>
        <v>49552.103293497617</v>
      </c>
      <c r="I20" s="238">
        <f t="shared" si="0"/>
        <v>0</v>
      </c>
      <c r="J20" s="238">
        <f t="shared" si="0"/>
        <v>0</v>
      </c>
      <c r="K20" s="238">
        <f t="shared" si="0"/>
        <v>0</v>
      </c>
      <c r="L20" s="238">
        <f t="shared" si="0"/>
        <v>1.0267999999999999</v>
      </c>
      <c r="M20" s="238">
        <f t="shared" si="0"/>
        <v>1.61</v>
      </c>
      <c r="N20" s="238">
        <f t="shared" si="0"/>
        <v>0</v>
      </c>
      <c r="O20" s="238">
        <f t="shared" si="0"/>
        <v>0</v>
      </c>
      <c r="P20" s="238">
        <f t="shared" si="0"/>
        <v>0</v>
      </c>
      <c r="Q20" s="238">
        <f t="shared" si="0"/>
        <v>0</v>
      </c>
      <c r="R20" s="238">
        <f t="shared" si="0"/>
        <v>0</v>
      </c>
      <c r="S20" s="238">
        <f t="shared" si="0"/>
        <v>0</v>
      </c>
      <c r="T20" s="238">
        <f>+T$19+(T12+T13)/'Input page'!$B$5</f>
        <v>131.01907824862934</v>
      </c>
      <c r="U20" s="238">
        <f t="shared" si="0"/>
        <v>10.4</v>
      </c>
      <c r="V20" s="238">
        <f t="shared" si="0"/>
        <v>0</v>
      </c>
      <c r="W20" s="238">
        <f t="shared" si="0"/>
        <v>0</v>
      </c>
      <c r="X20" s="238">
        <f t="shared" si="0"/>
        <v>0</v>
      </c>
      <c r="Y20" s="240">
        <f>+Y$19+(Y12+Y13)/'Input page'!$B$5</f>
        <v>800229.60576465516</v>
      </c>
    </row>
    <row r="21" spans="1:27" hidden="1">
      <c r="B21" s="332" t="s">
        <v>160</v>
      </c>
      <c r="C21" s="328">
        <f>+C$19</f>
        <v>0</v>
      </c>
      <c r="D21" s="329">
        <f>+D$19-(D12+D13)/'Input page'!$B$5</f>
        <v>75.743390209313588</v>
      </c>
      <c r="E21" s="328">
        <f t="shared" si="0"/>
        <v>159</v>
      </c>
      <c r="F21" s="328">
        <f t="shared" si="0"/>
        <v>0.17</v>
      </c>
      <c r="G21" s="328">
        <f t="shared" si="0"/>
        <v>1.3</v>
      </c>
      <c r="H21" s="329">
        <f>+H$19-(H12+H13)/'Input page'!$B$5</f>
        <v>49552.103293497617</v>
      </c>
      <c r="I21" s="328">
        <f t="shared" si="0"/>
        <v>0</v>
      </c>
      <c r="J21" s="328">
        <f t="shared" si="0"/>
        <v>0</v>
      </c>
      <c r="K21" s="328">
        <f t="shared" si="0"/>
        <v>0</v>
      </c>
      <c r="L21" s="328">
        <f t="shared" si="0"/>
        <v>1.0267999999999999</v>
      </c>
      <c r="M21" s="328">
        <f t="shared" si="0"/>
        <v>1.61</v>
      </c>
      <c r="N21" s="328">
        <f t="shared" si="0"/>
        <v>0</v>
      </c>
      <c r="O21" s="328">
        <f t="shared" si="0"/>
        <v>0</v>
      </c>
      <c r="P21" s="328">
        <f t="shared" si="0"/>
        <v>0</v>
      </c>
      <c r="Q21" s="328">
        <f t="shared" si="0"/>
        <v>0</v>
      </c>
      <c r="R21" s="328">
        <f t="shared" si="0"/>
        <v>0</v>
      </c>
      <c r="S21" s="328">
        <f t="shared" si="0"/>
        <v>0</v>
      </c>
      <c r="T21" s="328">
        <f>+T$19-(T12+T13)/'Input page'!$B$5</f>
        <v>131.01907824862934</v>
      </c>
      <c r="U21" s="328">
        <f t="shared" si="0"/>
        <v>10.4</v>
      </c>
      <c r="V21" s="328">
        <f t="shared" si="0"/>
        <v>0</v>
      </c>
      <c r="W21" s="328">
        <f t="shared" si="0"/>
        <v>0</v>
      </c>
      <c r="X21" s="328">
        <f t="shared" si="0"/>
        <v>0</v>
      </c>
      <c r="Y21" s="330">
        <f>+Y$19-(Y12+Y13)/'Input page'!$B$5</f>
        <v>800229.60576465516</v>
      </c>
    </row>
    <row r="22" spans="1:27">
      <c r="B22" s="43" t="s">
        <v>266</v>
      </c>
      <c r="C22" s="28">
        <f>+(C12+C13)/'Input page'!$B$5</f>
        <v>0</v>
      </c>
      <c r="D22" s="28">
        <f>+(D12+D13)/'Input page'!$B$5</f>
        <v>0</v>
      </c>
      <c r="E22" s="28">
        <f>+(E12+E13)/'Input page'!$B$5</f>
        <v>0</v>
      </c>
      <c r="F22" s="28">
        <f>+(F12+F13)/'Input page'!$B$5</f>
        <v>0</v>
      </c>
      <c r="G22" s="28">
        <f>+(G12+G13)/'Input page'!$B$5</f>
        <v>0</v>
      </c>
      <c r="H22" s="28">
        <f>+(H12+H13)/'Input page'!$B$5</f>
        <v>0</v>
      </c>
      <c r="I22" s="28">
        <f>+(I12+I13)/'Input page'!$B$5</f>
        <v>0</v>
      </c>
      <c r="J22" s="28">
        <f>+(J12+J13)/'Input page'!$B$5</f>
        <v>0</v>
      </c>
      <c r="K22" s="28">
        <f>+(K12+K13)/'Input page'!$B$5</f>
        <v>0</v>
      </c>
      <c r="L22" s="28">
        <f>+(L12+L13)/'Input page'!$B$5</f>
        <v>0</v>
      </c>
      <c r="M22" s="28">
        <f>+(M12+M13)/'Input page'!$B$5</f>
        <v>0</v>
      </c>
      <c r="N22" s="28">
        <f>+(N12+N13)/'Input page'!$B$5</f>
        <v>0</v>
      </c>
      <c r="O22" s="28">
        <f>+(O12+O13)/'Input page'!$B$5</f>
        <v>0</v>
      </c>
      <c r="P22" s="28">
        <f>+(P12+P13)/'Input page'!$B$5</f>
        <v>0</v>
      </c>
      <c r="Q22" s="28">
        <f>+(Q12+Q13)/'Input page'!$B$5</f>
        <v>0</v>
      </c>
      <c r="R22" s="28">
        <f>+(R12+R13)/'Input page'!$B$5</f>
        <v>0</v>
      </c>
      <c r="S22" s="28">
        <f>+(S12+S13)/'Input page'!$B$5</f>
        <v>0</v>
      </c>
      <c r="T22" s="28">
        <f>+(T12+T13)/'Input page'!$B$5</f>
        <v>0</v>
      </c>
      <c r="U22" s="28">
        <f>+(U12+U13)/'Input page'!$B$5</f>
        <v>0</v>
      </c>
      <c r="V22" s="28">
        <f>+(V12+V13)/'Input page'!$B$5</f>
        <v>0</v>
      </c>
      <c r="W22" s="28">
        <f>+(W12+W13)/'Input page'!$B$5</f>
        <v>0</v>
      </c>
      <c r="X22" s="28">
        <f>+(X12+X13)/'Input page'!$B$5</f>
        <v>0</v>
      </c>
      <c r="Y22" s="28">
        <f>+(Y12+Y13)/'Input page'!$B$5</f>
        <v>0</v>
      </c>
    </row>
    <row r="23" spans="1:27">
      <c r="B23" s="43"/>
      <c r="C23" s="27"/>
      <c r="D23" s="28"/>
      <c r="E23" s="27"/>
      <c r="F23" s="27"/>
      <c r="G23" s="27"/>
      <c r="H23" s="28"/>
      <c r="I23" s="27"/>
      <c r="J23" s="27"/>
      <c r="K23" s="27"/>
      <c r="L23" s="27"/>
      <c r="M23" s="27"/>
      <c r="N23" s="27"/>
      <c r="O23" s="27"/>
      <c r="P23" s="27"/>
      <c r="Q23" s="27"/>
      <c r="R23" s="27"/>
      <c r="S23" s="27"/>
      <c r="T23" s="28"/>
      <c r="U23" s="27"/>
      <c r="V23" s="27"/>
      <c r="W23" s="27"/>
      <c r="X23" s="27"/>
      <c r="Y23" s="28"/>
    </row>
    <row r="24" spans="1:27">
      <c r="B24" s="43"/>
      <c r="C24" s="43"/>
      <c r="D24" s="43"/>
      <c r="E24" s="43"/>
      <c r="F24" s="43"/>
      <c r="G24" s="43"/>
      <c r="H24" s="43"/>
      <c r="I24" s="43"/>
      <c r="J24" s="43"/>
      <c r="K24" s="43"/>
      <c r="L24" s="43"/>
      <c r="M24" s="43"/>
      <c r="N24" s="43"/>
      <c r="O24" s="43"/>
      <c r="P24" s="43"/>
      <c r="Q24" s="43"/>
      <c r="R24" s="43"/>
      <c r="S24" s="43"/>
      <c r="T24" s="43"/>
      <c r="U24" s="43"/>
      <c r="V24" s="43"/>
      <c r="W24" s="43"/>
      <c r="X24" s="43"/>
      <c r="Y24" s="43"/>
    </row>
    <row r="25" spans="1:27">
      <c r="A25" s="450"/>
      <c r="B25" s="451" t="s">
        <v>161</v>
      </c>
      <c r="C25" s="509" t="s">
        <v>266</v>
      </c>
      <c r="D25" s="505"/>
      <c r="E25" s="43"/>
      <c r="F25" s="43"/>
      <c r="G25" s="43"/>
      <c r="H25" s="43"/>
      <c r="I25" s="43"/>
      <c r="J25" s="43"/>
      <c r="K25" s="43"/>
      <c r="L25" s="43"/>
      <c r="M25" s="43"/>
      <c r="N25" s="43"/>
      <c r="O25" s="43"/>
      <c r="P25" s="43"/>
      <c r="Q25" s="43"/>
      <c r="R25" s="43"/>
      <c r="S25" s="43"/>
      <c r="T25" s="43"/>
      <c r="U25" s="43"/>
      <c r="V25" s="43"/>
      <c r="W25" s="43"/>
      <c r="X25" s="43"/>
      <c r="Y25" s="28"/>
    </row>
    <row r="26" spans="1:27" ht="15.6">
      <c r="A26" s="452" t="s">
        <v>177</v>
      </c>
      <c r="B26" s="453">
        <f>+'GHG&amp;E ratio calc.'!D27</f>
        <v>6.3681011503668233E-3</v>
      </c>
      <c r="C26" s="510">
        <f>+IF(('Input page'!$C$43+'Input page'!$C$44)=0,0,'GHG&amp;E ratio calc.'!E27-'GHG&amp;E ratio calc.'!D27)</f>
        <v>0</v>
      </c>
      <c r="D26" s="506"/>
      <c r="E26" s="43"/>
      <c r="F26" s="43"/>
      <c r="G26" s="43"/>
      <c r="H26" s="43"/>
      <c r="I26" s="43"/>
      <c r="J26" s="43"/>
      <c r="K26" s="43"/>
      <c r="L26" s="43"/>
      <c r="M26" s="43"/>
      <c r="N26" s="43"/>
      <c r="O26" s="43"/>
      <c r="P26" s="43"/>
      <c r="Q26" s="43"/>
      <c r="R26" s="43"/>
      <c r="S26" s="43"/>
      <c r="T26" s="43"/>
      <c r="U26" s="43"/>
      <c r="V26" s="43"/>
      <c r="W26" s="43"/>
      <c r="X26" s="43"/>
      <c r="Y26" s="28"/>
    </row>
    <row r="27" spans="1:27" ht="15.6">
      <c r="A27" s="454" t="s">
        <v>178</v>
      </c>
      <c r="B27" s="455">
        <f>+'GHG&amp;E ratio calc.'!D28</f>
        <v>2.083417481346252</v>
      </c>
      <c r="C27" s="456">
        <f>+IF(('Input page'!$C$43+'Input page'!$C$44)=0,0,'GHG&amp;E ratio calc.'!E28-'GHG&amp;E ratio calc.'!D28)</f>
        <v>0</v>
      </c>
      <c r="D27" s="507"/>
      <c r="E27" s="43"/>
      <c r="F27" s="43" t="s">
        <v>5</v>
      </c>
      <c r="G27" s="43"/>
      <c r="H27" s="43"/>
      <c r="I27" s="43"/>
      <c r="J27" s="43"/>
      <c r="K27" s="43"/>
      <c r="L27" s="43"/>
      <c r="M27" s="43"/>
      <c r="N27" s="43"/>
      <c r="O27" s="43"/>
      <c r="P27" s="43"/>
      <c r="Q27" s="43"/>
      <c r="R27" s="43"/>
      <c r="S27" s="43"/>
      <c r="T27" s="43"/>
      <c r="U27" s="43"/>
      <c r="V27" s="43"/>
      <c r="W27" s="43"/>
      <c r="X27" s="43"/>
      <c r="Y27" s="28"/>
    </row>
    <row r="28" spans="1:27" ht="15.6">
      <c r="A28" s="454" t="s">
        <v>182</v>
      </c>
      <c r="B28" s="457">
        <f>+IF('Input page'!C12=1,'Operational GHG emissions'!B7,0)</f>
        <v>0</v>
      </c>
      <c r="C28" s="458">
        <f>+IF(AND('Input page'!$C12=1,('Input page'!$C43+'Input page'!$C44)&gt;0),'Operational GHG emissions'!C7,0)</f>
        <v>0</v>
      </c>
      <c r="D28" s="508"/>
      <c r="F28" s="43"/>
      <c r="G28" s="43"/>
      <c r="H28" s="43"/>
      <c r="I28" s="43"/>
      <c r="J28" s="43"/>
      <c r="K28" s="341"/>
      <c r="L28" s="341"/>
      <c r="M28" s="341"/>
      <c r="N28" s="341"/>
      <c r="O28" s="43"/>
      <c r="P28" s="43"/>
      <c r="Q28" s="43"/>
      <c r="R28" s="43"/>
      <c r="S28" s="43"/>
      <c r="T28" s="43"/>
      <c r="U28" s="43"/>
      <c r="V28" s="43"/>
      <c r="W28" s="43"/>
      <c r="X28" s="43"/>
      <c r="Y28" s="28"/>
    </row>
    <row r="29" spans="1:27" ht="15.6">
      <c r="A29" s="459" t="s">
        <v>180</v>
      </c>
      <c r="B29" s="460">
        <f>+B28+B27</f>
        <v>2.083417481346252</v>
      </c>
      <c r="C29" s="461">
        <f>+C28+C27</f>
        <v>0</v>
      </c>
      <c r="D29" s="507"/>
      <c r="F29" s="43"/>
      <c r="G29" s="43"/>
      <c r="H29" s="43" t="s">
        <v>5</v>
      </c>
      <c r="I29" s="43"/>
      <c r="J29" s="43"/>
      <c r="K29" s="341"/>
      <c r="L29" s="341"/>
      <c r="M29" s="341"/>
      <c r="N29" s="341"/>
      <c r="O29" s="43"/>
      <c r="P29" s="43"/>
      <c r="Q29" s="43"/>
      <c r="R29" s="43"/>
      <c r="S29" s="43"/>
      <c r="T29" s="43"/>
      <c r="U29" s="43"/>
      <c r="V29" s="43"/>
      <c r="W29" s="43"/>
      <c r="X29" s="43"/>
      <c r="Y29" s="28"/>
    </row>
    <row r="30" spans="1:27">
      <c r="D30" s="43"/>
      <c r="F30" s="43"/>
      <c r="G30" s="43"/>
      <c r="H30" s="43"/>
      <c r="I30" s="43"/>
      <c r="J30" s="43"/>
      <c r="K30" s="341"/>
      <c r="L30" s="341"/>
      <c r="M30" s="342"/>
      <c r="N30" s="341"/>
      <c r="O30" s="43"/>
      <c r="P30" s="43"/>
      <c r="Q30" s="43"/>
      <c r="R30" s="43"/>
      <c r="S30" s="43"/>
      <c r="T30" s="43"/>
      <c r="U30" s="43"/>
      <c r="V30" s="43"/>
      <c r="W30" s="43"/>
      <c r="X30" s="43"/>
      <c r="Y30" s="28"/>
    </row>
    <row r="31" spans="1:27">
      <c r="A31" s="7"/>
      <c r="D31" s="43"/>
      <c r="F31" s="43"/>
      <c r="G31" s="43"/>
      <c r="H31" s="43"/>
      <c r="I31" s="43"/>
      <c r="J31" s="43"/>
      <c r="K31" s="341"/>
      <c r="L31" s="341"/>
      <c r="M31" s="341"/>
      <c r="N31" s="341"/>
      <c r="O31" s="43"/>
      <c r="P31" s="43"/>
      <c r="Q31" s="43"/>
      <c r="R31" s="43"/>
      <c r="S31" s="43"/>
      <c r="T31" s="43"/>
      <c r="U31" s="43"/>
      <c r="V31" s="43"/>
      <c r="W31" s="43"/>
      <c r="X31" s="43"/>
      <c r="Y31" s="28"/>
    </row>
    <row r="32" spans="1:27">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2:34">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row>
    <row r="34" spans="2:34">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2:34">
      <c r="B35" s="27"/>
      <c r="C35" s="28"/>
      <c r="D35" s="27"/>
      <c r="E35" s="27"/>
      <c r="F35" s="27"/>
      <c r="G35" s="28"/>
      <c r="H35" s="27"/>
      <c r="I35" s="27"/>
      <c r="J35" s="27"/>
      <c r="K35" s="27"/>
      <c r="L35" s="27"/>
      <c r="M35" s="27"/>
      <c r="N35" s="27"/>
      <c r="O35" s="27"/>
      <c r="P35" s="27"/>
      <c r="Q35" s="27"/>
      <c r="R35" s="27"/>
      <c r="S35" s="28"/>
      <c r="T35" s="27"/>
      <c r="U35" s="27"/>
      <c r="V35" s="27"/>
      <c r="W35" s="27"/>
      <c r="X35" s="28"/>
      <c r="Y35" s="43"/>
      <c r="Z35" s="43"/>
      <c r="AA35" s="43"/>
      <c r="AB35" s="43"/>
      <c r="AC35" s="43"/>
      <c r="AD35" s="43"/>
      <c r="AE35" s="43"/>
      <c r="AF35" s="43"/>
      <c r="AG35" s="43"/>
      <c r="AH35" s="43"/>
    </row>
    <row r="36" spans="2:34">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row>
    <row r="37" spans="2:34">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row>
    <row r="38" spans="2:34">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row>
  </sheetData>
  <sheetProtection password="E109" sheet="1" objects="1" scenarios="1"/>
  <mergeCells count="2">
    <mergeCell ref="A15:L15"/>
    <mergeCell ref="A17:B19"/>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A29"/>
  <sheetViews>
    <sheetView topLeftCell="A13" workbookViewId="0">
      <selection activeCell="D39" sqref="D39"/>
    </sheetView>
  </sheetViews>
  <sheetFormatPr defaultRowHeight="14.4"/>
  <cols>
    <col min="2" max="2" width="19.88671875" customWidth="1"/>
    <col min="3" max="3" width="10.109375" customWidth="1"/>
    <col min="4" max="4" width="13.109375" customWidth="1"/>
    <col min="5" max="5" width="10.88671875" customWidth="1"/>
    <col min="6" max="6" width="13.6640625" customWidth="1"/>
    <col min="7" max="7" width="11.44140625" customWidth="1"/>
    <col min="8" max="8" width="10.33203125" customWidth="1"/>
    <col min="9" max="12" width="11.5546875" customWidth="1"/>
    <col min="13" max="13" width="11.44140625" customWidth="1"/>
    <col min="14" max="14" width="11.5546875" bestFit="1" customWidth="1"/>
    <col min="15" max="15" width="10.6640625" customWidth="1"/>
    <col min="16" max="16" width="10.44140625" customWidth="1"/>
    <col min="17" max="17" width="8.88671875" customWidth="1"/>
    <col min="18" max="18" width="12.5546875" customWidth="1"/>
    <col min="19" max="20" width="11" customWidth="1"/>
    <col min="21" max="21" width="11.5546875" customWidth="1"/>
    <col min="22" max="22" width="8.109375" customWidth="1"/>
    <col min="23" max="25" width="11.109375" customWidth="1"/>
    <col min="26" max="26" width="12" customWidth="1"/>
  </cols>
  <sheetData>
    <row r="1" spans="1:27" ht="15.75" customHeight="1">
      <c r="D1" s="669"/>
      <c r="E1" s="670"/>
      <c r="F1" s="670"/>
      <c r="G1" s="670"/>
      <c r="H1" s="670"/>
      <c r="I1" s="670"/>
      <c r="J1" s="670"/>
      <c r="K1" s="670"/>
      <c r="L1" s="670"/>
      <c r="M1" s="670"/>
      <c r="N1" s="670"/>
      <c r="O1" s="670"/>
      <c r="P1" s="670"/>
      <c r="Q1" s="670"/>
      <c r="R1" s="670"/>
      <c r="S1" s="670"/>
      <c r="T1" s="670"/>
      <c r="U1" s="670"/>
      <c r="V1" s="3"/>
      <c r="W1" s="3"/>
      <c r="X1" s="3"/>
      <c r="Y1" s="3"/>
      <c r="Z1" s="165"/>
    </row>
    <row r="2" spans="1:27" s="4" customFormat="1" ht="18" customHeight="1">
      <c r="D2" s="5" t="s">
        <v>6</v>
      </c>
      <c r="E2" s="6" t="s">
        <v>7</v>
      </c>
      <c r="F2" s="6" t="s">
        <v>8</v>
      </c>
      <c r="G2" s="6" t="s">
        <v>9</v>
      </c>
      <c r="H2" s="6" t="s">
        <v>10</v>
      </c>
      <c r="I2" s="6" t="s">
        <v>11</v>
      </c>
      <c r="J2" s="6" t="s">
        <v>222</v>
      </c>
      <c r="K2" s="6" t="s">
        <v>222</v>
      </c>
      <c r="L2" s="6" t="s">
        <v>222</v>
      </c>
      <c r="M2" s="6" t="s">
        <v>12</v>
      </c>
      <c r="N2" s="6" t="s">
        <v>13</v>
      </c>
      <c r="O2" s="6" t="s">
        <v>14</v>
      </c>
      <c r="P2" s="6" t="s">
        <v>15</v>
      </c>
      <c r="Q2" s="6" t="s">
        <v>16</v>
      </c>
      <c r="R2" s="6" t="s">
        <v>71</v>
      </c>
      <c r="S2" s="6" t="s">
        <v>17</v>
      </c>
      <c r="T2" s="6" t="s">
        <v>18</v>
      </c>
      <c r="U2" s="6" t="s">
        <v>19</v>
      </c>
      <c r="V2" s="6" t="s">
        <v>20</v>
      </c>
      <c r="W2" s="6" t="s">
        <v>21</v>
      </c>
      <c r="X2" s="6" t="s">
        <v>22</v>
      </c>
      <c r="Y2" s="6" t="s">
        <v>23</v>
      </c>
      <c r="Z2" s="166" t="s">
        <v>24</v>
      </c>
    </row>
    <row r="3" spans="1:27">
      <c r="B3" s="7" t="s">
        <v>5</v>
      </c>
      <c r="C3" s="7"/>
      <c r="D3" s="8" t="s">
        <v>25</v>
      </c>
      <c r="E3" s="9" t="s">
        <v>25</v>
      </c>
      <c r="F3" s="9" t="s">
        <v>25</v>
      </c>
      <c r="G3" s="9" t="s">
        <v>25</v>
      </c>
      <c r="H3" s="9" t="s">
        <v>26</v>
      </c>
      <c r="I3" s="9" t="s">
        <v>27</v>
      </c>
      <c r="J3" s="9" t="s">
        <v>5</v>
      </c>
      <c r="K3" s="9" t="s">
        <v>5</v>
      </c>
      <c r="L3" s="9" t="s">
        <v>5</v>
      </c>
      <c r="M3" s="9" t="s">
        <v>25</v>
      </c>
      <c r="N3" s="9" t="s">
        <v>25</v>
      </c>
      <c r="O3" s="9" t="s">
        <v>25</v>
      </c>
      <c r="P3" s="9" t="s">
        <v>25</v>
      </c>
      <c r="Q3" s="9" t="s">
        <v>25</v>
      </c>
      <c r="R3" s="9" t="s">
        <v>25</v>
      </c>
      <c r="S3" s="9" t="s">
        <v>25</v>
      </c>
      <c r="T3" s="9" t="s">
        <v>25</v>
      </c>
      <c r="U3" s="9" t="s">
        <v>25</v>
      </c>
      <c r="V3" s="10" t="s">
        <v>25</v>
      </c>
      <c r="W3" s="10" t="s">
        <v>25</v>
      </c>
      <c r="X3" s="10" t="s">
        <v>25</v>
      </c>
      <c r="Y3" s="10" t="s">
        <v>25</v>
      </c>
      <c r="Z3" s="167" t="s">
        <v>34</v>
      </c>
    </row>
    <row r="4" spans="1:27">
      <c r="A4" s="136"/>
      <c r="B4" s="12"/>
      <c r="C4" s="12"/>
      <c r="D4" s="1"/>
      <c r="E4" s="1"/>
      <c r="F4" s="1"/>
      <c r="G4" s="1"/>
      <c r="H4" s="1"/>
      <c r="I4" s="1"/>
      <c r="J4" s="1"/>
      <c r="K4" s="1"/>
      <c r="L4" s="1"/>
      <c r="M4" s="1"/>
      <c r="N4" s="1"/>
      <c r="O4" s="1"/>
      <c r="P4" s="1"/>
      <c r="Q4" s="1"/>
      <c r="R4" s="1"/>
      <c r="S4" s="1"/>
      <c r="T4" s="1"/>
      <c r="U4" s="1"/>
      <c r="V4" s="1"/>
      <c r="W4" s="1"/>
      <c r="X4" s="1"/>
      <c r="Y4" s="1"/>
      <c r="Z4" s="1"/>
    </row>
    <row r="5" spans="1:27">
      <c r="A5" s="136"/>
      <c r="B5" s="144" t="s">
        <v>62</v>
      </c>
      <c r="C5" s="153" t="s">
        <v>70</v>
      </c>
      <c r="D5" s="152"/>
      <c r="E5" s="152"/>
      <c r="F5" s="152"/>
      <c r="G5" s="152"/>
      <c r="H5" s="152"/>
      <c r="I5" s="152"/>
      <c r="J5" s="152"/>
      <c r="K5" s="152"/>
      <c r="L5" s="152"/>
      <c r="M5" s="152"/>
      <c r="N5" s="152"/>
      <c r="O5" s="152"/>
      <c r="P5" s="152"/>
      <c r="Q5" s="152"/>
      <c r="R5" s="152"/>
      <c r="S5" s="152"/>
      <c r="T5" s="152"/>
      <c r="U5" s="152"/>
      <c r="V5" s="152"/>
      <c r="W5" s="152"/>
      <c r="X5" s="152"/>
      <c r="Y5" s="152"/>
      <c r="Z5" s="152"/>
    </row>
    <row r="6" spans="1:27">
      <c r="A6" s="136"/>
      <c r="B6" s="31" t="s">
        <v>56</v>
      </c>
      <c r="C6" s="154" t="s">
        <v>66</v>
      </c>
      <c r="D6" s="30">
        <v>45.2</v>
      </c>
      <c r="E6" s="19"/>
      <c r="F6" s="18">
        <v>460</v>
      </c>
      <c r="G6" s="19">
        <v>0.84</v>
      </c>
      <c r="H6" s="19">
        <v>20.5</v>
      </c>
      <c r="I6" s="18">
        <v>16443.936796927941</v>
      </c>
      <c r="J6" s="19"/>
      <c r="K6" s="19"/>
      <c r="L6" s="19"/>
      <c r="M6" s="19"/>
      <c r="N6" s="19">
        <v>3.88</v>
      </c>
      <c r="O6" s="19"/>
      <c r="P6" s="19"/>
      <c r="Q6" s="19"/>
      <c r="R6" s="19"/>
      <c r="S6" s="19"/>
      <c r="T6" s="19"/>
      <c r="U6" s="18">
        <v>221</v>
      </c>
      <c r="V6" s="19">
        <v>8.4</v>
      </c>
      <c r="W6" s="19"/>
      <c r="X6" s="19"/>
      <c r="Y6" s="19"/>
      <c r="Z6" s="18">
        <v>10726.552179656539</v>
      </c>
    </row>
    <row r="7" spans="1:27">
      <c r="A7" s="136"/>
      <c r="B7" s="32" t="s">
        <v>28</v>
      </c>
      <c r="C7" s="155" t="s">
        <v>68</v>
      </c>
      <c r="D7" s="30"/>
      <c r="E7" s="18"/>
      <c r="F7" s="19"/>
      <c r="G7" s="19">
        <v>2.15</v>
      </c>
      <c r="H7" s="18"/>
      <c r="I7" s="18"/>
      <c r="J7" s="18"/>
      <c r="K7" s="19"/>
      <c r="L7" s="19"/>
      <c r="M7" s="19"/>
      <c r="N7" s="19"/>
      <c r="O7" s="19" t="s">
        <v>5</v>
      </c>
      <c r="P7" s="19" t="s">
        <v>5</v>
      </c>
      <c r="Q7" s="19"/>
      <c r="R7" s="19">
        <v>0.38</v>
      </c>
      <c r="S7" s="19"/>
      <c r="T7" s="19"/>
      <c r="U7" s="17">
        <v>19.399999999999999</v>
      </c>
      <c r="V7" s="19"/>
      <c r="W7" s="19"/>
      <c r="X7" s="19"/>
      <c r="Y7" s="19"/>
      <c r="Z7" s="18">
        <v>0</v>
      </c>
    </row>
    <row r="8" spans="1:27">
      <c r="A8" s="136"/>
      <c r="B8" s="32" t="s">
        <v>30</v>
      </c>
      <c r="C8" s="155" t="s">
        <v>67</v>
      </c>
      <c r="D8" s="481"/>
      <c r="E8" s="17">
        <v>52.9</v>
      </c>
      <c r="F8" s="18"/>
      <c r="G8" s="19"/>
      <c r="H8" s="18" t="s">
        <v>5</v>
      </c>
      <c r="I8" s="18">
        <v>4090</v>
      </c>
      <c r="J8" s="18"/>
      <c r="K8" s="19"/>
      <c r="L8" s="19"/>
      <c r="M8" s="19">
        <v>3.4</v>
      </c>
      <c r="N8" s="19"/>
      <c r="O8" s="19"/>
      <c r="P8" s="19"/>
      <c r="Q8" s="19"/>
      <c r="R8" s="19"/>
      <c r="S8" s="19"/>
      <c r="T8" s="19"/>
      <c r="U8" s="17">
        <v>52.3</v>
      </c>
      <c r="V8" s="19"/>
      <c r="W8" s="19"/>
      <c r="X8" s="19"/>
      <c r="Y8" s="19"/>
      <c r="Z8" s="18">
        <v>6170</v>
      </c>
    </row>
    <row r="9" spans="1:27">
      <c r="A9" s="136"/>
      <c r="B9" s="33" t="s">
        <v>29</v>
      </c>
      <c r="C9" s="156" t="s">
        <v>69</v>
      </c>
      <c r="D9" s="22"/>
      <c r="E9" s="21"/>
      <c r="F9" s="22"/>
      <c r="G9" s="22"/>
      <c r="H9" s="21"/>
      <c r="I9" s="21">
        <v>118470</v>
      </c>
      <c r="J9" s="21" t="s">
        <v>5</v>
      </c>
      <c r="K9" s="22"/>
      <c r="L9" s="22"/>
      <c r="M9" s="22"/>
      <c r="N9" s="22"/>
      <c r="O9" s="22"/>
      <c r="P9" s="22"/>
      <c r="Q9" s="22"/>
      <c r="R9" s="22"/>
      <c r="S9" s="22"/>
      <c r="T9" s="22"/>
      <c r="U9" s="20"/>
      <c r="V9" s="22"/>
      <c r="W9" s="22"/>
      <c r="X9" s="22"/>
      <c r="Y9" s="22"/>
      <c r="Z9" s="482">
        <v>5130000</v>
      </c>
    </row>
    <row r="11" spans="1:27" s="13" customFormat="1">
      <c r="A11" s="46"/>
      <c r="B11" s="15"/>
      <c r="C11" s="157"/>
      <c r="D11" s="27"/>
      <c r="E11" s="27"/>
      <c r="F11" s="28"/>
      <c r="G11" s="29"/>
      <c r="H11" s="29"/>
      <c r="I11" s="28"/>
      <c r="J11" s="29"/>
      <c r="K11" s="29"/>
      <c r="L11" s="29"/>
      <c r="M11" s="29"/>
      <c r="N11" s="29"/>
      <c r="O11" s="29"/>
      <c r="P11" s="29"/>
      <c r="Q11" s="29"/>
      <c r="R11" s="29"/>
      <c r="S11" s="29"/>
      <c r="T11" s="29"/>
      <c r="U11" s="29"/>
      <c r="V11" s="29"/>
      <c r="W11" s="29"/>
      <c r="X11" s="29"/>
      <c r="Y11" s="29"/>
      <c r="Z11" s="28"/>
    </row>
    <row r="12" spans="1:27" s="13" customFormat="1">
      <c r="A12" s="46"/>
      <c r="B12" s="145" t="s">
        <v>61</v>
      </c>
      <c r="C12" s="158"/>
      <c r="D12" s="29"/>
      <c r="E12" s="29"/>
      <c r="F12" s="29"/>
      <c r="G12" s="29"/>
      <c r="H12" s="29"/>
      <c r="I12" s="29"/>
      <c r="J12" s="29"/>
      <c r="K12" s="29"/>
      <c r="L12" s="29"/>
      <c r="M12" s="29"/>
      <c r="N12" s="29"/>
      <c r="O12" s="29"/>
      <c r="P12" s="29"/>
      <c r="Q12" s="29"/>
      <c r="R12" s="29"/>
      <c r="S12" s="29"/>
      <c r="T12" s="29"/>
      <c r="U12" s="29"/>
      <c r="V12" s="29"/>
      <c r="W12" s="29"/>
      <c r="X12" s="29"/>
      <c r="Y12" s="29"/>
      <c r="Z12" s="29"/>
      <c r="AA12" s="43"/>
    </row>
    <row r="13" spans="1:27">
      <c r="A13" s="136"/>
      <c r="B13" s="37" t="s">
        <v>56</v>
      </c>
      <c r="C13" s="159" t="s">
        <v>66</v>
      </c>
      <c r="D13" s="34">
        <v>0</v>
      </c>
      <c r="E13" s="35"/>
      <c r="F13" s="35">
        <v>159</v>
      </c>
      <c r="G13" s="34">
        <v>0.17</v>
      </c>
      <c r="H13" s="34">
        <v>1.3</v>
      </c>
      <c r="I13" s="35">
        <v>1042</v>
      </c>
      <c r="J13" s="34"/>
      <c r="K13" s="34"/>
      <c r="L13" s="34"/>
      <c r="M13" s="34"/>
      <c r="N13" s="34">
        <v>1.61</v>
      </c>
      <c r="O13" s="34"/>
      <c r="P13" s="34"/>
      <c r="Q13" s="34"/>
      <c r="R13" s="34"/>
      <c r="S13" s="34"/>
      <c r="T13" s="34"/>
      <c r="U13" s="35">
        <v>24.8</v>
      </c>
      <c r="V13" s="34">
        <v>10.4</v>
      </c>
      <c r="W13" s="34"/>
      <c r="X13" s="34"/>
      <c r="Y13" s="34"/>
      <c r="Z13" s="35">
        <v>3645.970937912814</v>
      </c>
    </row>
    <row r="14" spans="1:27">
      <c r="A14" s="136"/>
      <c r="B14" s="37" t="s">
        <v>28</v>
      </c>
      <c r="C14" s="160" t="s">
        <v>68</v>
      </c>
      <c r="D14" s="36"/>
      <c r="E14" s="38"/>
      <c r="F14" s="38"/>
      <c r="G14" s="36"/>
      <c r="H14" s="38"/>
      <c r="I14" s="38"/>
      <c r="J14" s="38"/>
      <c r="K14" s="36"/>
      <c r="L14" s="36"/>
      <c r="M14" s="36"/>
      <c r="N14" s="36"/>
      <c r="O14" s="36"/>
      <c r="P14" s="36"/>
      <c r="Q14" s="36"/>
      <c r="R14" s="36"/>
      <c r="S14" s="36"/>
      <c r="T14" s="36"/>
      <c r="U14" s="38"/>
      <c r="V14" s="36"/>
      <c r="W14" s="36"/>
      <c r="X14" s="36"/>
      <c r="Y14" s="36"/>
      <c r="Z14" s="38"/>
    </row>
    <row r="15" spans="1:27">
      <c r="A15" s="136"/>
      <c r="B15" s="37" t="s">
        <v>30</v>
      </c>
      <c r="C15" s="161" t="s">
        <v>67</v>
      </c>
      <c r="D15" s="36"/>
      <c r="E15" s="40">
        <v>52.8</v>
      </c>
      <c r="F15" s="40"/>
      <c r="G15" s="39"/>
      <c r="H15" s="40" t="s">
        <v>5</v>
      </c>
      <c r="I15" s="40">
        <v>4090</v>
      </c>
      <c r="J15" s="40"/>
      <c r="K15" s="40"/>
      <c r="L15" s="40"/>
      <c r="M15" s="39">
        <v>3.4</v>
      </c>
      <c r="N15" s="39"/>
      <c r="O15" s="40"/>
      <c r="P15" s="40"/>
      <c r="Q15" s="40"/>
      <c r="R15" s="40"/>
      <c r="S15" s="40"/>
      <c r="T15" s="40"/>
      <c r="U15" s="40">
        <v>52.3</v>
      </c>
      <c r="V15" s="39"/>
      <c r="W15" s="39"/>
      <c r="X15" s="39"/>
      <c r="Y15" s="39"/>
      <c r="Z15" s="40">
        <v>6170</v>
      </c>
    </row>
    <row r="16" spans="1:27" s="13" customFormat="1">
      <c r="A16" s="46"/>
      <c r="B16" s="290"/>
      <c r="C16" s="158" t="s">
        <v>5</v>
      </c>
      <c r="D16" s="151"/>
      <c r="E16" s="29"/>
      <c r="F16" s="28"/>
      <c r="G16" s="29"/>
      <c r="H16" s="29"/>
      <c r="I16" s="28"/>
      <c r="J16" s="29"/>
      <c r="K16" s="29"/>
      <c r="L16" s="29"/>
      <c r="M16" s="29"/>
      <c r="N16" s="29"/>
      <c r="O16" s="29"/>
      <c r="P16" s="29"/>
      <c r="Q16" s="29"/>
      <c r="R16" s="29"/>
      <c r="S16" s="29"/>
      <c r="T16" s="29"/>
      <c r="U16" s="29"/>
      <c r="V16" s="29"/>
      <c r="W16" s="29"/>
      <c r="X16" s="29"/>
      <c r="Y16" s="29"/>
      <c r="Z16" s="28"/>
      <c r="AA16" s="43"/>
    </row>
    <row r="17" spans="1:27" s="13" customFormat="1">
      <c r="A17" s="46"/>
      <c r="B17" s="145" t="s">
        <v>59</v>
      </c>
      <c r="C17" s="158"/>
      <c r="D17" s="143"/>
      <c r="E17" s="29"/>
      <c r="F17" s="28"/>
      <c r="G17" s="29"/>
      <c r="H17" s="29"/>
      <c r="I17" s="28"/>
      <c r="J17" s="29"/>
      <c r="K17" s="29"/>
      <c r="L17" s="29"/>
      <c r="M17" s="29"/>
      <c r="N17" s="29"/>
      <c r="O17" s="29"/>
      <c r="P17" s="29"/>
      <c r="Q17" s="29"/>
      <c r="R17" s="29"/>
      <c r="S17" s="29"/>
      <c r="T17" s="29"/>
      <c r="U17" s="29"/>
      <c r="V17" s="29"/>
      <c r="W17" s="29"/>
      <c r="X17" s="29"/>
      <c r="Y17" s="29"/>
      <c r="Z17" s="28"/>
      <c r="AA17" s="43"/>
    </row>
    <row r="18" spans="1:27">
      <c r="A18" s="136"/>
      <c r="B18" s="140" t="s">
        <v>60</v>
      </c>
      <c r="C18" s="162" t="s">
        <v>66</v>
      </c>
      <c r="D18" s="141">
        <v>46.1</v>
      </c>
      <c r="E18" s="137"/>
      <c r="F18" s="137">
        <v>460</v>
      </c>
      <c r="G18" s="138">
        <v>0.84</v>
      </c>
      <c r="H18" s="139">
        <v>20.5</v>
      </c>
      <c r="I18" s="137">
        <v>16444</v>
      </c>
      <c r="J18" s="137"/>
      <c r="K18" s="138"/>
      <c r="L18" s="138"/>
      <c r="M18" s="138"/>
      <c r="N18" s="138">
        <v>4.28</v>
      </c>
      <c r="O18" s="138"/>
      <c r="P18" s="138"/>
      <c r="Q18" s="138"/>
      <c r="R18" s="138"/>
      <c r="S18" s="138"/>
      <c r="T18" s="138"/>
      <c r="U18" s="137">
        <v>231</v>
      </c>
      <c r="V18" s="138">
        <v>8.3920175379121762</v>
      </c>
      <c r="W18" s="138"/>
      <c r="X18" s="138"/>
      <c r="Y18" s="138"/>
      <c r="Z18" s="137">
        <v>10726.552179656539</v>
      </c>
    </row>
    <row r="19" spans="1:27">
      <c r="A19" s="136"/>
      <c r="B19" s="140" t="s">
        <v>28</v>
      </c>
      <c r="C19" s="163" t="s">
        <v>68</v>
      </c>
      <c r="D19" s="141"/>
      <c r="E19" s="24"/>
      <c r="F19" s="25"/>
      <c r="G19" s="24">
        <v>2.15</v>
      </c>
      <c r="H19" s="25"/>
      <c r="I19" s="25"/>
      <c r="J19" s="25"/>
      <c r="K19" s="24"/>
      <c r="L19" s="24"/>
      <c r="M19" s="24"/>
      <c r="N19" s="24"/>
      <c r="O19" s="24"/>
      <c r="P19" s="24"/>
      <c r="Q19" s="24"/>
      <c r="R19" s="24">
        <v>0.39</v>
      </c>
      <c r="S19" s="24"/>
      <c r="T19" s="24"/>
      <c r="U19" s="23">
        <v>19</v>
      </c>
      <c r="V19" s="24"/>
      <c r="W19" s="24"/>
      <c r="X19" s="142"/>
      <c r="Y19" s="24"/>
      <c r="Z19" s="25"/>
    </row>
    <row r="20" spans="1:27">
      <c r="A20" s="136"/>
      <c r="B20" s="146" t="s">
        <v>30</v>
      </c>
      <c r="C20" s="164" t="s">
        <v>67</v>
      </c>
      <c r="D20" s="147"/>
      <c r="E20" s="150">
        <v>52.9</v>
      </c>
      <c r="F20" s="149"/>
      <c r="G20" s="148"/>
      <c r="H20" s="149" t="s">
        <v>5</v>
      </c>
      <c r="I20" s="149">
        <v>4090</v>
      </c>
      <c r="J20" s="149">
        <v>0</v>
      </c>
      <c r="K20" s="148">
        <v>0</v>
      </c>
      <c r="L20" s="148">
        <v>0</v>
      </c>
      <c r="M20" s="148">
        <v>3.4</v>
      </c>
      <c r="N20" s="148"/>
      <c r="O20" s="148">
        <v>0</v>
      </c>
      <c r="P20" s="148">
        <v>0</v>
      </c>
      <c r="Q20" s="148">
        <v>0</v>
      </c>
      <c r="R20" s="148">
        <v>0</v>
      </c>
      <c r="S20" s="148">
        <v>0</v>
      </c>
      <c r="T20" s="148">
        <v>0</v>
      </c>
      <c r="U20" s="149">
        <v>52.3</v>
      </c>
      <c r="V20" s="148"/>
      <c r="W20" s="148"/>
      <c r="X20" s="148"/>
      <c r="Y20" s="148"/>
      <c r="Z20" s="149">
        <v>6170</v>
      </c>
    </row>
    <row r="21" spans="1:27">
      <c r="A21" s="136"/>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7" s="365" customFormat="1">
      <c r="A22" s="465"/>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7" s="365" customFormat="1" ht="15" thickBot="1">
      <c r="A23" s="465"/>
      <c r="B23" s="43"/>
      <c r="C23" s="43"/>
      <c r="D23" s="43"/>
      <c r="E23" s="43"/>
      <c r="F23" s="43"/>
      <c r="G23" s="43"/>
      <c r="H23" s="43"/>
      <c r="I23" s="43"/>
      <c r="J23" s="43"/>
      <c r="K23" s="43"/>
      <c r="L23" s="43"/>
      <c r="M23" s="43"/>
      <c r="N23" s="43" t="s">
        <v>5</v>
      </c>
      <c r="O23" s="43"/>
      <c r="P23" s="43"/>
      <c r="Q23" s="43"/>
      <c r="R23" s="43"/>
      <c r="S23" s="43"/>
      <c r="T23" s="43"/>
      <c r="U23" s="43"/>
      <c r="V23" s="43"/>
      <c r="W23" s="43"/>
      <c r="X23" s="43"/>
      <c r="Y23" s="43"/>
      <c r="Z23" s="43"/>
    </row>
    <row r="24" spans="1:27" ht="15" thickBot="1">
      <c r="B24" s="43"/>
      <c r="C24" s="43"/>
      <c r="D24" s="43"/>
      <c r="E24" s="43"/>
      <c r="F24" s="43"/>
      <c r="G24" s="43"/>
      <c r="H24" s="43"/>
      <c r="I24" s="671" t="s">
        <v>242</v>
      </c>
      <c r="J24" s="672"/>
      <c r="K24" s="673"/>
      <c r="L24" s="43"/>
      <c r="M24" s="43"/>
      <c r="N24" s="43"/>
      <c r="O24" s="43"/>
      <c r="P24" s="43"/>
      <c r="Q24" s="43"/>
      <c r="R24" s="43"/>
      <c r="S24" s="43"/>
      <c r="T24" s="43"/>
      <c r="U24" s="43"/>
      <c r="V24" s="43"/>
      <c r="W24" s="43"/>
      <c r="X24" s="43"/>
      <c r="Y24" s="43"/>
      <c r="Z24" s="43"/>
    </row>
    <row r="25" spans="1:27">
      <c r="B25" s="15" t="s">
        <v>122</v>
      </c>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7">
      <c r="B26" s="298" t="s">
        <v>56</v>
      </c>
      <c r="C26" s="301" t="s">
        <v>66</v>
      </c>
      <c r="D26" s="468">
        <v>46.1</v>
      </c>
      <c r="E26" s="469"/>
      <c r="F26" s="470">
        <v>460</v>
      </c>
      <c r="G26" s="469">
        <v>0.84</v>
      </c>
      <c r="H26" s="469">
        <v>20.5</v>
      </c>
      <c r="I26" s="470">
        <v>16444</v>
      </c>
      <c r="J26" s="469"/>
      <c r="K26" s="469"/>
      <c r="L26" s="469"/>
      <c r="M26" s="469"/>
      <c r="N26" s="469">
        <v>4.28</v>
      </c>
      <c r="O26" s="469"/>
      <c r="P26" s="469"/>
      <c r="Q26" s="469"/>
      <c r="R26" s="469"/>
      <c r="S26" s="469"/>
      <c r="T26" s="469"/>
      <c r="U26" s="470">
        <v>231</v>
      </c>
      <c r="V26" s="469">
        <v>8.3920175379121762</v>
      </c>
      <c r="W26" s="469"/>
      <c r="X26" s="469"/>
      <c r="Y26" s="469"/>
      <c r="Z26" s="471">
        <v>10726.552179656539</v>
      </c>
    </row>
    <row r="27" spans="1:27">
      <c r="B27" s="299" t="s">
        <v>28</v>
      </c>
      <c r="C27" s="302" t="s">
        <v>68</v>
      </c>
      <c r="D27" s="472"/>
      <c r="E27" s="473"/>
      <c r="F27" s="474"/>
      <c r="G27" s="474">
        <v>2.15</v>
      </c>
      <c r="H27" s="473"/>
      <c r="I27" s="473"/>
      <c r="J27" s="473"/>
      <c r="K27" s="474"/>
      <c r="L27" s="474"/>
      <c r="M27" s="474"/>
      <c r="N27" s="474"/>
      <c r="O27" s="474"/>
      <c r="P27" s="474"/>
      <c r="Q27" s="474"/>
      <c r="R27" s="474">
        <v>0.39</v>
      </c>
      <c r="S27" s="474"/>
      <c r="T27" s="474"/>
      <c r="U27" s="475">
        <v>19</v>
      </c>
      <c r="V27" s="474"/>
      <c r="W27" s="474"/>
      <c r="X27" s="474"/>
      <c r="Y27" s="474"/>
      <c r="Z27" s="476"/>
    </row>
    <row r="28" spans="1:27">
      <c r="B28" s="299" t="s">
        <v>30</v>
      </c>
      <c r="C28" s="483" t="s">
        <v>67</v>
      </c>
      <c r="D28" s="474"/>
      <c r="E28" s="473">
        <v>52.9</v>
      </c>
      <c r="F28" s="474"/>
      <c r="G28" s="474"/>
      <c r="H28" s="473" t="s">
        <v>5</v>
      </c>
      <c r="I28" s="473">
        <v>4090</v>
      </c>
      <c r="J28" s="473">
        <v>0</v>
      </c>
      <c r="K28" s="474">
        <v>0</v>
      </c>
      <c r="L28" s="474">
        <v>0</v>
      </c>
      <c r="M28" s="474">
        <v>3.4</v>
      </c>
      <c r="N28" s="474"/>
      <c r="O28" s="474">
        <v>0</v>
      </c>
      <c r="P28" s="474">
        <v>0</v>
      </c>
      <c r="Q28" s="474">
        <v>0</v>
      </c>
      <c r="R28" s="474">
        <v>0</v>
      </c>
      <c r="S28" s="474">
        <v>0</v>
      </c>
      <c r="T28" s="474">
        <v>0</v>
      </c>
      <c r="U28" s="475">
        <v>52.3</v>
      </c>
      <c r="V28" s="474"/>
      <c r="W28" s="474"/>
      <c r="X28" s="474"/>
      <c r="Y28" s="474"/>
      <c r="Z28" s="476">
        <v>6170</v>
      </c>
    </row>
    <row r="29" spans="1:27">
      <c r="B29" s="300" t="s">
        <v>29</v>
      </c>
      <c r="C29" s="484" t="s">
        <v>69</v>
      </c>
      <c r="D29" s="477"/>
      <c r="E29" s="477"/>
      <c r="F29" s="478"/>
      <c r="G29" s="479"/>
      <c r="H29" s="478"/>
      <c r="I29" s="478">
        <v>118470</v>
      </c>
      <c r="J29" s="478" t="s">
        <v>5</v>
      </c>
      <c r="K29" s="479"/>
      <c r="L29" s="479"/>
      <c r="M29" s="479"/>
      <c r="N29" s="479"/>
      <c r="O29" s="479"/>
      <c r="P29" s="479"/>
      <c r="Q29" s="479"/>
      <c r="R29" s="479"/>
      <c r="S29" s="479"/>
      <c r="T29" s="479"/>
      <c r="U29" s="477"/>
      <c r="V29" s="479"/>
      <c r="W29" s="479"/>
      <c r="X29" s="479"/>
      <c r="Y29" s="479"/>
      <c r="Z29" s="480">
        <v>5130000</v>
      </c>
    </row>
  </sheetData>
  <sheetProtection password="E109" sheet="1" objects="1" scenarios="1"/>
  <mergeCells count="2">
    <mergeCell ref="D1:U1"/>
    <mergeCell ref="I24:K24"/>
  </mergeCells>
  <pageMargins left="0.7" right="0.7" top="0.75" bottom="0.75" header="0.3" footer="0.3"/>
  <pageSetup scale="35" orientation="landscape" r:id="rId1"/>
  <legacyDrawing r:id="rId2"/>
</worksheet>
</file>

<file path=xl/worksheets/sheet6.xml><?xml version="1.0" encoding="utf-8"?>
<worksheet xmlns="http://schemas.openxmlformats.org/spreadsheetml/2006/main" xmlns:r="http://schemas.openxmlformats.org/officeDocument/2006/relationships">
  <dimension ref="A2:AI106"/>
  <sheetViews>
    <sheetView topLeftCell="A13" workbookViewId="0">
      <selection activeCell="C52" sqref="C52"/>
    </sheetView>
  </sheetViews>
  <sheetFormatPr defaultRowHeight="14.4"/>
  <cols>
    <col min="1" max="1" width="11.88671875" customWidth="1"/>
    <col min="2" max="2" width="12.6640625" customWidth="1"/>
    <col min="3" max="3" width="14.109375" customWidth="1"/>
    <col min="4" max="4" width="10.33203125" customWidth="1"/>
    <col min="5" max="5" width="14.6640625" customWidth="1"/>
    <col min="6" max="7" width="13.88671875" customWidth="1"/>
    <col min="8" max="8" width="16.33203125" customWidth="1"/>
    <col min="9" max="9" width="17.6640625" customWidth="1"/>
    <col min="10" max="12" width="14.109375" customWidth="1"/>
    <col min="26" max="26" width="10.5546875" bestFit="1" customWidth="1"/>
    <col min="28" max="28" width="10.109375" customWidth="1"/>
    <col min="29" max="29" width="10.5546875" bestFit="1" customWidth="1"/>
    <col min="32" max="32" width="13" customWidth="1"/>
    <col min="34" max="35" width="9.5546875" bestFit="1" customWidth="1"/>
  </cols>
  <sheetData>
    <row r="2" spans="1:30">
      <c r="A2" s="674" t="s">
        <v>114</v>
      </c>
      <c r="B2" s="674"/>
      <c r="C2" s="674"/>
      <c r="D2" s="674"/>
      <c r="E2" s="674"/>
      <c r="F2" s="674"/>
      <c r="G2" s="136"/>
      <c r="M2" t="s">
        <v>5</v>
      </c>
    </row>
    <row r="3" spans="1:30">
      <c r="J3" s="678" t="s">
        <v>115</v>
      </c>
      <c r="K3" s="679"/>
    </row>
    <row r="4" spans="1:30">
      <c r="A4" s="136" t="s">
        <v>78</v>
      </c>
      <c r="B4" s="136" t="s">
        <v>75</v>
      </c>
      <c r="C4" s="136" t="s">
        <v>77</v>
      </c>
      <c r="D4" s="136" t="s">
        <v>76</v>
      </c>
      <c r="E4" s="136" t="s">
        <v>86</v>
      </c>
      <c r="F4" s="136" t="s">
        <v>87</v>
      </c>
      <c r="G4" s="136" t="s">
        <v>32</v>
      </c>
      <c r="H4" s="136" t="s">
        <v>92</v>
      </c>
      <c r="I4" s="136" t="s">
        <v>93</v>
      </c>
      <c r="J4" s="291" t="s">
        <v>107</v>
      </c>
      <c r="K4" s="292" t="s">
        <v>108</v>
      </c>
      <c r="Q4" s="45" t="s">
        <v>5</v>
      </c>
      <c r="R4" s="45"/>
    </row>
    <row r="5" spans="1:30">
      <c r="A5" s="227" t="s">
        <v>79</v>
      </c>
      <c r="B5" s="228" t="s">
        <v>120</v>
      </c>
      <c r="C5" s="228" t="s">
        <v>82</v>
      </c>
      <c r="D5" s="228">
        <v>1</v>
      </c>
      <c r="E5" s="139">
        <v>51.196058971233469</v>
      </c>
      <c r="F5" s="139">
        <v>63.176848801495424</v>
      </c>
      <c r="G5" s="229">
        <v>0.316</v>
      </c>
      <c r="H5" s="250"/>
      <c r="I5" s="250"/>
      <c r="J5" s="284">
        <f>+('Input page'!$B$17*'Matl=f(depth)'!E5+'Matl=f(depth)'!F5)*'Input page'!C$20</f>
        <v>139.97093725834563</v>
      </c>
      <c r="K5" s="285">
        <f t="shared" ref="K5:K6" si="0">+J5*G5</f>
        <v>44.230816173637216</v>
      </c>
      <c r="Q5" s="45"/>
      <c r="R5" s="45"/>
    </row>
    <row r="6" spans="1:30">
      <c r="A6" s="100"/>
      <c r="B6" s="52"/>
      <c r="C6" s="52" t="s">
        <v>83</v>
      </c>
      <c r="D6" s="52" t="s">
        <v>121</v>
      </c>
      <c r="E6" s="23">
        <v>136.02837242166606</v>
      </c>
      <c r="F6" s="23">
        <v>113.27390473185085</v>
      </c>
      <c r="G6" s="231">
        <v>0.316</v>
      </c>
      <c r="H6" s="250"/>
      <c r="I6" s="250"/>
      <c r="J6" s="286">
        <f>+('Input page'!$B$17*'Matl=f(depth)'!E6+'Matl=f(depth)'!F6)*'Input page'!C$21</f>
        <v>0</v>
      </c>
      <c r="K6" s="287">
        <f t="shared" si="0"/>
        <v>0</v>
      </c>
      <c r="Q6" s="45"/>
      <c r="R6" s="45"/>
    </row>
    <row r="7" spans="1:30" ht="15" thickBot="1">
      <c r="A7" s="97"/>
      <c r="B7" s="52" t="s">
        <v>119</v>
      </c>
      <c r="C7" s="52" t="s">
        <v>88</v>
      </c>
      <c r="D7" s="52">
        <v>3</v>
      </c>
      <c r="E7" s="23">
        <v>80</v>
      </c>
      <c r="F7" s="23">
        <v>1540</v>
      </c>
      <c r="G7" s="231">
        <v>0.55000000000000004</v>
      </c>
      <c r="H7" s="136">
        <v>9.6</v>
      </c>
      <c r="I7" s="136">
        <v>20</v>
      </c>
      <c r="J7" s="286">
        <f>+('Input page'!$B$17*'Matl=f(depth)'!E7+'Matl=f(depth)'!F7)*'Input page'!C$23</f>
        <v>0</v>
      </c>
      <c r="K7" s="287">
        <f>+J7*G7</f>
        <v>0</v>
      </c>
      <c r="L7" s="136"/>
      <c r="Y7" s="620" t="s">
        <v>35</v>
      </c>
      <c r="Z7" s="621"/>
      <c r="AA7" s="621"/>
      <c r="AB7" s="622"/>
      <c r="AC7" s="185"/>
    </row>
    <row r="8" spans="1:30">
      <c r="A8" s="100"/>
      <c r="B8" s="52"/>
      <c r="C8" s="230" t="s">
        <v>80</v>
      </c>
      <c r="D8" s="52">
        <v>2</v>
      </c>
      <c r="E8" s="23">
        <v>79.616309378963365</v>
      </c>
      <c r="F8" s="23">
        <v>431.60369351988288</v>
      </c>
      <c r="G8" s="231">
        <v>0.52</v>
      </c>
      <c r="H8" s="136">
        <v>9.6</v>
      </c>
      <c r="I8" s="136">
        <v>20</v>
      </c>
      <c r="J8" s="286">
        <f>+('Input page'!$B$17*'Matl=f(depth)'!E8+'Matl=f(depth)'!F8)*'Input page'!C$24</f>
        <v>0</v>
      </c>
      <c r="K8" s="287">
        <f t="shared" ref="K8:K36" si="1">+J8*G8</f>
        <v>0</v>
      </c>
      <c r="X8" s="48" t="s">
        <v>36</v>
      </c>
      <c r="Y8" s="193" t="s">
        <v>37</v>
      </c>
      <c r="Z8" s="193"/>
      <c r="AA8" s="98" t="s">
        <v>36</v>
      </c>
      <c r="AB8" s="52" t="s">
        <v>38</v>
      </c>
      <c r="AC8" s="49" t="s">
        <v>39</v>
      </c>
      <c r="AD8" s="50" t="s">
        <v>40</v>
      </c>
    </row>
    <row r="9" spans="1:30">
      <c r="A9" s="100"/>
      <c r="B9" s="52"/>
      <c r="C9" s="52" t="s">
        <v>90</v>
      </c>
      <c r="D9" s="52">
        <v>1</v>
      </c>
      <c r="E9" s="23">
        <v>85.304771359718416</v>
      </c>
      <c r="F9" s="23">
        <v>79.740242048844948</v>
      </c>
      <c r="G9" s="231">
        <v>0.51</v>
      </c>
      <c r="H9" s="136">
        <v>9.6</v>
      </c>
      <c r="I9" s="136">
        <v>20</v>
      </c>
      <c r="J9" s="286">
        <f>+('Input page'!$B$17*'Matl=f(depth)'!E9+'Matl=f(depth)'!F9)*'Input page'!C$25</f>
        <v>0</v>
      </c>
      <c r="K9" s="287">
        <f t="shared" si="1"/>
        <v>0</v>
      </c>
      <c r="X9" s="51"/>
      <c r="Y9" s="52" t="s">
        <v>5</v>
      </c>
      <c r="Z9" s="53" t="s">
        <v>5</v>
      </c>
      <c r="AA9" s="52">
        <v>1</v>
      </c>
      <c r="AB9" s="52">
        <v>4</v>
      </c>
      <c r="AC9" s="53">
        <v>202.06047719410492</v>
      </c>
      <c r="AD9" s="54">
        <v>103.09418028968281</v>
      </c>
    </row>
    <row r="10" spans="1:30">
      <c r="A10" s="100"/>
      <c r="B10" s="52" t="s">
        <v>81</v>
      </c>
      <c r="C10" s="52" t="s">
        <v>82</v>
      </c>
      <c r="D10" s="52">
        <v>1</v>
      </c>
      <c r="E10" s="23">
        <v>51.196058971233469</v>
      </c>
      <c r="F10" s="23">
        <v>63.176848801495424</v>
      </c>
      <c r="G10" s="231">
        <v>0.316</v>
      </c>
      <c r="H10" s="136">
        <v>20.6</v>
      </c>
      <c r="I10" s="136">
        <v>50</v>
      </c>
      <c r="J10" s="286">
        <f>+('Input page'!$B$17*'Matl=f(depth)'!E10+'Matl=f(depth)'!F10)*'Input page'!C$27</f>
        <v>0</v>
      </c>
      <c r="K10" s="287">
        <f t="shared" si="1"/>
        <v>0</v>
      </c>
      <c r="X10" s="51"/>
      <c r="Y10" s="53"/>
      <c r="Z10" s="52"/>
      <c r="AA10" s="52">
        <v>1</v>
      </c>
      <c r="AB10" s="52">
        <v>4.95</v>
      </c>
      <c r="AC10" s="53">
        <v>243.00676744676974</v>
      </c>
      <c r="AD10" s="54">
        <v>127.86634743445759</v>
      </c>
    </row>
    <row r="11" spans="1:30">
      <c r="A11" s="100"/>
      <c r="B11" s="52"/>
      <c r="C11" s="52" t="s">
        <v>83</v>
      </c>
      <c r="D11" s="52"/>
      <c r="E11" s="23">
        <v>136.02837242166606</v>
      </c>
      <c r="F11" s="23">
        <v>113.27390473185085</v>
      </c>
      <c r="G11" s="231">
        <v>0.316</v>
      </c>
      <c r="H11" s="136">
        <v>20.6</v>
      </c>
      <c r="I11" s="136">
        <v>50</v>
      </c>
      <c r="J11" s="286">
        <f>+('Input page'!$B$17*'Matl=f(depth)'!E11+'Matl=f(depth)'!F11)*'Input page'!C$28</f>
        <v>0</v>
      </c>
      <c r="K11" s="287">
        <f t="shared" si="1"/>
        <v>0</v>
      </c>
      <c r="X11" s="51"/>
      <c r="Y11" s="52"/>
      <c r="Z11" s="52"/>
      <c r="AA11" s="52">
        <v>2</v>
      </c>
      <c r="AB11" s="52">
        <v>5.05</v>
      </c>
      <c r="AC11" s="53">
        <v>398.24891539905582</v>
      </c>
      <c r="AD11" s="54">
        <v>209.55232941389613</v>
      </c>
    </row>
    <row r="12" spans="1:30">
      <c r="A12" s="232"/>
      <c r="B12" s="233" t="s">
        <v>84</v>
      </c>
      <c r="C12" s="233" t="s">
        <v>85</v>
      </c>
      <c r="D12" s="233"/>
      <c r="E12" s="150">
        <v>43.336122580011121</v>
      </c>
      <c r="F12" s="150">
        <v>71.61246480470507</v>
      </c>
      <c r="G12" s="234">
        <v>0.22700000000000001</v>
      </c>
      <c r="H12" s="136">
        <v>5.2</v>
      </c>
      <c r="I12" s="136">
        <v>10</v>
      </c>
      <c r="J12" s="288">
        <f>+('Input page'!$B$17*'Matl=f(depth)'!E12+'Matl=f(depth)'!F12)*'Input page'!C$30</f>
        <v>0</v>
      </c>
      <c r="K12" s="289">
        <f t="shared" si="1"/>
        <v>0</v>
      </c>
      <c r="X12" s="51"/>
      <c r="Y12" s="52"/>
      <c r="Z12" s="52"/>
      <c r="AA12" s="52">
        <v>2</v>
      </c>
      <c r="AB12" s="52">
        <v>5.95</v>
      </c>
      <c r="AC12" s="53">
        <v>436.4647439009583</v>
      </c>
      <c r="AD12" s="54">
        <v>239.6473497909673</v>
      </c>
    </row>
    <row r="13" spans="1:30">
      <c r="A13" s="213" t="s">
        <v>91</v>
      </c>
      <c r="B13" s="214" t="s">
        <v>120</v>
      </c>
      <c r="C13" s="214" t="s">
        <v>82</v>
      </c>
      <c r="D13" s="214">
        <v>1</v>
      </c>
      <c r="E13" s="215">
        <v>110.06822969874054</v>
      </c>
      <c r="F13" s="215">
        <v>46.664583434627559</v>
      </c>
      <c r="G13" s="216">
        <v>0.316</v>
      </c>
      <c r="H13" s="250"/>
      <c r="I13" s="250"/>
      <c r="J13" s="278">
        <f>+('Input page'!$B$17*'Matl=f(depth)'!E13+'Matl=f(depth)'!F13)*'Input page'!C$20</f>
        <v>211.76692798273837</v>
      </c>
      <c r="K13" s="279">
        <f t="shared" si="1"/>
        <v>66.918349242545318</v>
      </c>
      <c r="X13" s="51"/>
      <c r="Y13" s="52"/>
      <c r="Z13" s="52"/>
      <c r="AA13" s="52"/>
      <c r="AB13" s="52"/>
      <c r="AC13" s="53"/>
      <c r="AD13" s="54"/>
    </row>
    <row r="14" spans="1:30">
      <c r="A14" s="217"/>
      <c r="B14" s="218"/>
      <c r="C14" s="218" t="s">
        <v>83</v>
      </c>
      <c r="D14" s="218" t="s">
        <v>121</v>
      </c>
      <c r="E14" s="220">
        <v>196.31412639336202</v>
      </c>
      <c r="F14" s="220">
        <v>42.239618501920518</v>
      </c>
      <c r="G14" s="221">
        <v>0.316</v>
      </c>
      <c r="H14" s="250"/>
      <c r="I14" s="250"/>
      <c r="J14" s="280">
        <f>+('Input page'!$B$17*'Matl=f(depth)'!E14+'Matl=f(depth)'!F14)*'Input page'!C$21</f>
        <v>0</v>
      </c>
      <c r="K14" s="281">
        <f t="shared" si="1"/>
        <v>0</v>
      </c>
      <c r="X14" s="51"/>
      <c r="Y14" s="52"/>
      <c r="Z14" s="52"/>
      <c r="AA14" s="52"/>
      <c r="AB14" s="52"/>
      <c r="AC14" s="53"/>
      <c r="AD14" s="54"/>
    </row>
    <row r="15" spans="1:30" ht="15" thickBot="1">
      <c r="A15" s="222"/>
      <c r="B15" s="218" t="s">
        <v>119</v>
      </c>
      <c r="C15" s="218" t="s">
        <v>88</v>
      </c>
      <c r="D15" s="218">
        <v>3</v>
      </c>
      <c r="E15" s="220">
        <v>190</v>
      </c>
      <c r="F15" s="220">
        <v>874</v>
      </c>
      <c r="G15" s="221">
        <v>0.55000000000000004</v>
      </c>
      <c r="H15" s="136">
        <v>9.6</v>
      </c>
      <c r="I15" s="136">
        <v>20</v>
      </c>
      <c r="J15" s="280">
        <f>+('Input page'!$B$17*'Matl=f(depth)'!E15+'Matl=f(depth)'!F15)*'Input page'!C$23</f>
        <v>0</v>
      </c>
      <c r="K15" s="281">
        <f t="shared" si="1"/>
        <v>0</v>
      </c>
      <c r="X15" s="55"/>
      <c r="Y15" s="56"/>
      <c r="Z15" s="56"/>
      <c r="AA15" s="56">
        <v>3</v>
      </c>
      <c r="AB15" s="56">
        <v>6.05</v>
      </c>
      <c r="AC15" s="57">
        <v>970.18440086583109</v>
      </c>
      <c r="AD15" s="58">
        <v>532.69393169770638</v>
      </c>
    </row>
    <row r="16" spans="1:30">
      <c r="A16" s="217"/>
      <c r="B16" s="218"/>
      <c r="C16" s="219" t="s">
        <v>80</v>
      </c>
      <c r="D16" s="218">
        <v>2</v>
      </c>
      <c r="E16" s="220">
        <v>189.10267828352562</v>
      </c>
      <c r="F16" s="220">
        <v>339.69478902391256</v>
      </c>
      <c r="G16" s="221">
        <v>0.52</v>
      </c>
      <c r="H16" s="136">
        <v>9.6</v>
      </c>
      <c r="I16" s="136">
        <v>20</v>
      </c>
      <c r="J16" s="280">
        <f>+('Input page'!$B$17*'Matl=f(depth)'!E16+'Matl=f(depth)'!F16)*'Input page'!C$24</f>
        <v>0</v>
      </c>
      <c r="K16" s="281">
        <f t="shared" si="1"/>
        <v>0</v>
      </c>
      <c r="X16" s="11"/>
      <c r="Y16" s="59"/>
      <c r="Z16" s="46"/>
      <c r="AA16" s="13"/>
      <c r="AB16" s="11"/>
      <c r="AC16" s="59"/>
      <c r="AD16" s="11"/>
    </row>
    <row r="17" spans="1:30">
      <c r="A17" s="217"/>
      <c r="B17" s="218"/>
      <c r="C17" s="218" t="s">
        <v>90</v>
      </c>
      <c r="D17" s="218">
        <v>1</v>
      </c>
      <c r="E17" s="220">
        <v>135.5597116153474</v>
      </c>
      <c r="F17" s="220">
        <v>88.753266503216196</v>
      </c>
      <c r="G17" s="221">
        <v>0.51</v>
      </c>
      <c r="H17" s="136">
        <v>9.6</v>
      </c>
      <c r="I17" s="136">
        <v>20</v>
      </c>
      <c r="J17" s="280">
        <f>+('Input page'!$B$17*'Matl=f(depth)'!E17+'Matl=f(depth)'!F17)*'Input page'!C$25</f>
        <v>0</v>
      </c>
      <c r="K17" s="281">
        <f t="shared" si="1"/>
        <v>0</v>
      </c>
      <c r="X17" s="60"/>
      <c r="Y17" s="186" t="s">
        <v>41</v>
      </c>
      <c r="Z17" s="186"/>
      <c r="AA17" s="61"/>
      <c r="AB17" s="62"/>
      <c r="AC17" s="63" t="s">
        <v>0</v>
      </c>
      <c r="AD17" s="64"/>
    </row>
    <row r="18" spans="1:30">
      <c r="A18" s="222"/>
      <c r="B18" s="218" t="s">
        <v>81</v>
      </c>
      <c r="C18" s="218" t="s">
        <v>82</v>
      </c>
      <c r="D18" s="218">
        <v>1</v>
      </c>
      <c r="E18" s="220">
        <v>110.06822969874054</v>
      </c>
      <c r="F18" s="220">
        <v>46.664583434627559</v>
      </c>
      <c r="G18" s="221">
        <v>0.316</v>
      </c>
      <c r="H18" s="136">
        <v>20.6</v>
      </c>
      <c r="I18" s="136">
        <v>50</v>
      </c>
      <c r="J18" s="280">
        <f>+('Input page'!$B$17*'Matl=f(depth)'!E18+'Matl=f(depth)'!F18)*'Input page'!C$27</f>
        <v>0</v>
      </c>
      <c r="K18" s="281">
        <f t="shared" si="1"/>
        <v>0</v>
      </c>
      <c r="X18" s="65" t="s">
        <v>38</v>
      </c>
      <c r="Y18" s="66" t="s">
        <v>39</v>
      </c>
      <c r="Z18" s="66" t="s">
        <v>40</v>
      </c>
      <c r="AA18" s="66"/>
      <c r="AB18" s="67" t="s">
        <v>38</v>
      </c>
      <c r="AC18" s="68" t="s">
        <v>39</v>
      </c>
      <c r="AD18" s="69" t="s">
        <v>40</v>
      </c>
    </row>
    <row r="19" spans="1:30">
      <c r="A19" s="222"/>
      <c r="B19" s="218"/>
      <c r="C19" s="218" t="s">
        <v>83</v>
      </c>
      <c r="D19" s="218"/>
      <c r="E19" s="220">
        <v>196.31412639336202</v>
      </c>
      <c r="F19" s="220">
        <v>42.239618501920518</v>
      </c>
      <c r="G19" s="221">
        <v>0.316</v>
      </c>
      <c r="H19" s="136">
        <v>20.6</v>
      </c>
      <c r="I19" s="136">
        <v>50</v>
      </c>
      <c r="J19" s="280">
        <f>+('Input page'!$B$17*'Matl=f(depth)'!E19+'Matl=f(depth)'!F19)*'Input page'!C$28</f>
        <v>0</v>
      </c>
      <c r="K19" s="281">
        <f t="shared" si="1"/>
        <v>0</v>
      </c>
      <c r="X19" s="65">
        <v>0.67</v>
      </c>
      <c r="Y19" s="70">
        <v>52.336786805322518</v>
      </c>
      <c r="Z19" s="71">
        <v>15.182691789536998</v>
      </c>
      <c r="AA19" s="72"/>
      <c r="AB19" s="67">
        <v>1.5</v>
      </c>
      <c r="AC19" s="73">
        <v>57.668026150438401</v>
      </c>
      <c r="AD19" s="74">
        <v>18.366985598252299</v>
      </c>
    </row>
    <row r="20" spans="1:30">
      <c r="A20" s="223"/>
      <c r="B20" s="224" t="s">
        <v>84</v>
      </c>
      <c r="C20" s="224" t="s">
        <v>85</v>
      </c>
      <c r="D20" s="224"/>
      <c r="E20" s="225">
        <v>105.60993763432494</v>
      </c>
      <c r="F20" s="225">
        <v>49.123671854074757</v>
      </c>
      <c r="G20" s="226">
        <v>0.22700000000000001</v>
      </c>
      <c r="H20" s="136">
        <v>5.2</v>
      </c>
      <c r="I20" s="136">
        <v>10</v>
      </c>
      <c r="J20" s="282">
        <f>+('Input page'!$B$17*'Matl=f(depth)'!E20+'Matl=f(depth)'!F20)*'Input page'!C$30</f>
        <v>0</v>
      </c>
      <c r="K20" s="283">
        <f t="shared" si="1"/>
        <v>0</v>
      </c>
      <c r="X20" s="65">
        <v>1</v>
      </c>
      <c r="Y20" s="70">
        <v>60.286658149316928</v>
      </c>
      <c r="Z20" s="71">
        <v>17.195520630400594</v>
      </c>
      <c r="AA20" s="72"/>
      <c r="AB20" s="67">
        <v>1.95</v>
      </c>
      <c r="AC20" s="73">
        <v>68.214414298512494</v>
      </c>
      <c r="AD20" s="74">
        <v>21.481359931872166</v>
      </c>
    </row>
    <row r="21" spans="1:30">
      <c r="A21" s="200" t="s">
        <v>11</v>
      </c>
      <c r="B21" s="201" t="s">
        <v>120</v>
      </c>
      <c r="C21" s="201" t="s">
        <v>82</v>
      </c>
      <c r="D21" s="201">
        <v>1</v>
      </c>
      <c r="E21" s="202">
        <v>34062.843682085891</v>
      </c>
      <c r="F21" s="202">
        <v>24931.158677099782</v>
      </c>
      <c r="G21" s="203">
        <v>0.316</v>
      </c>
      <c r="H21" s="250"/>
      <c r="I21" s="250"/>
      <c r="J21" s="272">
        <f>+('Input page'!$B$17*'Matl=f(depth)'!E21+'Matl=f(depth)'!F21)*'Input page'!C$20</f>
        <v>76025.424200228619</v>
      </c>
      <c r="K21" s="273">
        <f t="shared" si="1"/>
        <v>24024.034047272246</v>
      </c>
      <c r="X21" s="65"/>
      <c r="Y21" s="70"/>
      <c r="Z21" s="71"/>
      <c r="AA21" s="72"/>
      <c r="AB21" s="67"/>
      <c r="AC21" s="73"/>
      <c r="AD21" s="74"/>
    </row>
    <row r="22" spans="1:30">
      <c r="A22" s="209"/>
      <c r="B22" s="205"/>
      <c r="C22" s="205" t="s">
        <v>83</v>
      </c>
      <c r="D22" s="205" t="s">
        <v>121</v>
      </c>
      <c r="E22" s="207">
        <v>33249.276025061903</v>
      </c>
      <c r="F22" s="207">
        <v>26558.293991147759</v>
      </c>
      <c r="G22" s="208">
        <v>0.316</v>
      </c>
      <c r="H22" s="250"/>
      <c r="I22" s="250"/>
      <c r="J22" s="274">
        <f>+('Input page'!$B$17*'Matl=f(depth)'!E22+'Matl=f(depth)'!F22)*'Input page'!C$21</f>
        <v>0</v>
      </c>
      <c r="K22" s="275">
        <f t="shared" si="1"/>
        <v>0</v>
      </c>
      <c r="X22" s="65"/>
      <c r="Y22" s="70"/>
      <c r="Z22" s="71"/>
      <c r="AA22" s="72"/>
      <c r="AB22" s="67"/>
      <c r="AC22" s="73"/>
      <c r="AD22" s="74"/>
    </row>
    <row r="23" spans="1:30">
      <c r="A23" s="209"/>
      <c r="B23" s="205" t="s">
        <v>119</v>
      </c>
      <c r="C23" s="205" t="s">
        <v>88</v>
      </c>
      <c r="D23" s="205">
        <v>3</v>
      </c>
      <c r="E23" s="207">
        <v>82000</v>
      </c>
      <c r="F23" s="207">
        <v>35379</v>
      </c>
      <c r="G23" s="208">
        <v>0.55000000000000004</v>
      </c>
      <c r="H23" s="136">
        <v>9.6</v>
      </c>
      <c r="I23" s="136">
        <v>20</v>
      </c>
      <c r="J23" s="274">
        <f>+('Input page'!$B$17*'Matl=f(depth)'!E23+'Matl=f(depth)'!F23)*'Input page'!C$23</f>
        <v>0</v>
      </c>
      <c r="K23" s="275">
        <f t="shared" si="1"/>
        <v>0</v>
      </c>
      <c r="X23" s="65">
        <v>1.5</v>
      </c>
      <c r="Y23" s="70">
        <v>71.758399478495647</v>
      </c>
      <c r="Z23" s="71">
        <v>20.095235827500229</v>
      </c>
      <c r="AA23" s="72"/>
      <c r="AB23" s="67">
        <v>2.0499999999999998</v>
      </c>
      <c r="AC23" s="73">
        <v>158.75622762497539</v>
      </c>
      <c r="AD23" s="74">
        <v>49.993827581873845</v>
      </c>
    </row>
    <row r="24" spans="1:30">
      <c r="A24" s="204"/>
      <c r="B24" s="205"/>
      <c r="C24" s="206" t="s">
        <v>80</v>
      </c>
      <c r="D24" s="205">
        <v>2</v>
      </c>
      <c r="E24" s="207">
        <v>81870.447474164888</v>
      </c>
      <c r="F24" s="207">
        <v>-12674.204883757688</v>
      </c>
      <c r="G24" s="208">
        <v>0.52</v>
      </c>
      <c r="H24" s="136">
        <v>9.6</v>
      </c>
      <c r="I24" s="136">
        <v>20</v>
      </c>
      <c r="J24" s="274">
        <f>+('Input page'!$B$17*'Matl=f(depth)'!E24+'Matl=f(depth)'!F24)*'Input page'!C$24</f>
        <v>0</v>
      </c>
      <c r="K24" s="275">
        <f t="shared" si="1"/>
        <v>0</v>
      </c>
      <c r="X24" s="65">
        <v>1.95</v>
      </c>
      <c r="Y24" s="70">
        <v>82.308049181658205</v>
      </c>
      <c r="Z24" s="71">
        <v>22.441557663400324</v>
      </c>
      <c r="AA24" s="72"/>
      <c r="AB24" s="67">
        <v>2.5</v>
      </c>
      <c r="AC24" s="73">
        <v>200.31044692143408</v>
      </c>
      <c r="AD24" s="74">
        <v>62.889555912775755</v>
      </c>
    </row>
    <row r="25" spans="1:30">
      <c r="A25" s="204"/>
      <c r="B25" s="205"/>
      <c r="C25" s="205" t="s">
        <v>90</v>
      </c>
      <c r="D25" s="205">
        <v>1</v>
      </c>
      <c r="E25" s="207">
        <v>178072.37178173379</v>
      </c>
      <c r="F25" s="207">
        <v>-493683.82642160222</v>
      </c>
      <c r="G25" s="208">
        <v>0.51</v>
      </c>
      <c r="H25" s="136">
        <v>9.6</v>
      </c>
      <c r="I25" s="136">
        <v>20</v>
      </c>
      <c r="J25" s="274">
        <f>+('Input page'!$B$17*'Matl=f(depth)'!E25+'Matl=f(depth)'!F25)*'Input page'!C$25</f>
        <v>0</v>
      </c>
      <c r="K25" s="275">
        <f t="shared" si="1"/>
        <v>0</v>
      </c>
      <c r="X25" s="75"/>
      <c r="Y25" s="76"/>
      <c r="Z25" s="76"/>
      <c r="AA25" s="77"/>
      <c r="AB25" s="78">
        <v>3</v>
      </c>
      <c r="AC25" s="42">
        <v>214.79991706270184</v>
      </c>
      <c r="AD25" s="79">
        <v>67.237656991037852</v>
      </c>
    </row>
    <row r="26" spans="1:30" ht="15" thickBot="1">
      <c r="A26" s="209"/>
      <c r="B26" s="205" t="s">
        <v>81</v>
      </c>
      <c r="C26" s="205" t="s">
        <v>82</v>
      </c>
      <c r="D26" s="205">
        <v>1</v>
      </c>
      <c r="E26" s="207">
        <v>34062.843682085891</v>
      </c>
      <c r="F26" s="207">
        <v>24931.158677099782</v>
      </c>
      <c r="G26" s="208">
        <v>0.316</v>
      </c>
      <c r="H26" s="136">
        <v>20.6</v>
      </c>
      <c r="I26" s="136">
        <v>50</v>
      </c>
      <c r="J26" s="274">
        <f>+('Input page'!$B$17*'Matl=f(depth)'!E26+'Matl=f(depth)'!F26)*'Input page'!C$27</f>
        <v>0</v>
      </c>
      <c r="K26" s="275">
        <f t="shared" si="1"/>
        <v>0</v>
      </c>
      <c r="X26" s="43"/>
      <c r="Y26" s="43"/>
      <c r="Z26" s="43"/>
      <c r="AA26" s="43"/>
      <c r="AB26" s="43"/>
      <c r="AC26" s="43"/>
      <c r="AD26" s="43"/>
    </row>
    <row r="27" spans="1:30">
      <c r="A27" s="209"/>
      <c r="B27" s="205"/>
      <c r="C27" s="205" t="s">
        <v>83</v>
      </c>
      <c r="D27" s="205"/>
      <c r="E27" s="207">
        <v>33249.276025061903</v>
      </c>
      <c r="F27" s="207">
        <v>26558.293991147759</v>
      </c>
      <c r="G27" s="208">
        <v>0.316</v>
      </c>
      <c r="H27" s="136">
        <v>20.6</v>
      </c>
      <c r="I27" s="136">
        <v>50</v>
      </c>
      <c r="J27" s="274">
        <f>+('Input page'!$B$17*'Matl=f(depth)'!E27+'Matl=f(depth)'!F27)*'Input page'!C$28</f>
        <v>0</v>
      </c>
      <c r="K27" s="275">
        <f t="shared" si="1"/>
        <v>0</v>
      </c>
      <c r="X27" s="187" t="s">
        <v>42</v>
      </c>
      <c r="Y27" s="188"/>
      <c r="Z27" s="188"/>
      <c r="AA27" s="189"/>
      <c r="AB27" s="43"/>
      <c r="AC27" s="43"/>
      <c r="AD27" s="43"/>
    </row>
    <row r="28" spans="1:30">
      <c r="A28" s="210"/>
      <c r="B28" s="10" t="s">
        <v>84</v>
      </c>
      <c r="C28" s="10" t="s">
        <v>85</v>
      </c>
      <c r="D28" s="10"/>
      <c r="E28" s="211">
        <v>31153.834888167912</v>
      </c>
      <c r="F28" s="211">
        <v>26655.112172124223</v>
      </c>
      <c r="G28" s="212">
        <v>0.22700000000000001</v>
      </c>
      <c r="H28" s="136">
        <v>5.2</v>
      </c>
      <c r="I28" s="136">
        <v>10</v>
      </c>
      <c r="J28" s="276">
        <f>+('Input page'!$B$17*'Matl=f(depth)'!E28+'Matl=f(depth)'!F28)*'Input page'!C$30</f>
        <v>0</v>
      </c>
      <c r="K28" s="277">
        <f t="shared" si="1"/>
        <v>0</v>
      </c>
      <c r="X28" s="80" t="s">
        <v>38</v>
      </c>
      <c r="Y28" s="81" t="s">
        <v>43</v>
      </c>
      <c r="Z28" s="81" t="s">
        <v>33</v>
      </c>
      <c r="AA28" s="82" t="s">
        <v>44</v>
      </c>
      <c r="AB28" s="43"/>
      <c r="AC28" s="44"/>
      <c r="AD28" s="43"/>
    </row>
    <row r="29" spans="1:30">
      <c r="A29" s="263" t="s">
        <v>24</v>
      </c>
      <c r="B29" s="257" t="s">
        <v>120</v>
      </c>
      <c r="C29" s="257" t="s">
        <v>82</v>
      </c>
      <c r="D29" s="257">
        <v>1</v>
      </c>
      <c r="E29" s="258">
        <v>182500.27676482784</v>
      </c>
      <c r="F29" s="258">
        <v>85328.40177721357</v>
      </c>
      <c r="G29" s="264">
        <v>0.316</v>
      </c>
      <c r="H29" s="250"/>
      <c r="I29" s="250"/>
      <c r="J29" s="266">
        <f>+('Input page'!$B$17*'Matl=f(depth)'!E29+'Matl=f(depth)'!F29)*'Input page'!C$20</f>
        <v>359078.81692445534</v>
      </c>
      <c r="K29" s="267">
        <f t="shared" si="1"/>
        <v>113468.90614812789</v>
      </c>
      <c r="X29" s="80"/>
      <c r="Y29" s="81"/>
      <c r="Z29" s="81"/>
      <c r="AA29" s="82"/>
      <c r="AB29" s="43"/>
      <c r="AC29" s="44"/>
      <c r="AD29" s="43"/>
    </row>
    <row r="30" spans="1:30">
      <c r="A30" s="256"/>
      <c r="B30" s="253"/>
      <c r="C30" s="253" t="s">
        <v>83</v>
      </c>
      <c r="D30" s="253" t="s">
        <v>121</v>
      </c>
      <c r="E30" s="254">
        <v>298366.02521957777</v>
      </c>
      <c r="F30" s="254">
        <v>77169.265226440693</v>
      </c>
      <c r="G30" s="255">
        <v>0.316</v>
      </c>
      <c r="H30" s="250"/>
      <c r="I30" s="250"/>
      <c r="J30" s="268">
        <f>+('Input page'!$B$17*'Matl=f(depth)'!E30+'Matl=f(depth)'!F30)*'Input page'!C$21</f>
        <v>0</v>
      </c>
      <c r="K30" s="269">
        <f t="shared" si="1"/>
        <v>0</v>
      </c>
      <c r="X30" s="80"/>
      <c r="Y30" s="81"/>
      <c r="Z30" s="81"/>
      <c r="AA30" s="82"/>
      <c r="AB30" s="43"/>
      <c r="AC30" s="44"/>
      <c r="AD30" s="43"/>
    </row>
    <row r="31" spans="1:30">
      <c r="A31" s="256"/>
      <c r="B31" s="253" t="s">
        <v>119</v>
      </c>
      <c r="C31" s="253" t="s">
        <v>88</v>
      </c>
      <c r="D31" s="253">
        <v>3</v>
      </c>
      <c r="E31" s="254">
        <v>200792.60237780714</v>
      </c>
      <c r="F31" s="254">
        <v>1796829.5904887714</v>
      </c>
      <c r="G31" s="255">
        <v>0.55000000000000004</v>
      </c>
      <c r="H31" s="136">
        <v>9.6</v>
      </c>
      <c r="I31" s="136">
        <v>20</v>
      </c>
      <c r="J31" s="268">
        <f>+('Input page'!$B$17*'Matl=f(depth)'!E31+'Matl=f(depth)'!F31)*'Input page'!C$23</f>
        <v>0</v>
      </c>
      <c r="K31" s="269">
        <f t="shared" si="1"/>
        <v>0</v>
      </c>
      <c r="O31" s="83"/>
      <c r="X31" s="80">
        <v>4</v>
      </c>
      <c r="Y31" s="84">
        <v>50.418391187977818</v>
      </c>
      <c r="Z31" s="85">
        <v>1161.7531743511818</v>
      </c>
      <c r="AA31" s="82">
        <v>12.1</v>
      </c>
      <c r="AB31" s="43"/>
      <c r="AC31" s="44"/>
      <c r="AD31" s="43"/>
    </row>
    <row r="32" spans="1:30">
      <c r="A32" s="252"/>
      <c r="B32" s="253"/>
      <c r="C32" s="259" t="s">
        <v>80</v>
      </c>
      <c r="D32" s="253">
        <v>2</v>
      </c>
      <c r="E32" s="254">
        <v>200540.90586869585</v>
      </c>
      <c r="F32" s="254">
        <v>466245.66551538324</v>
      </c>
      <c r="G32" s="255">
        <v>0.52</v>
      </c>
      <c r="H32" s="136">
        <v>9.6</v>
      </c>
      <c r="I32" s="136">
        <v>20</v>
      </c>
      <c r="J32" s="268">
        <f>+('Input page'!$B$17*'Matl=f(depth)'!E32+'Matl=f(depth)'!F32)*'Input page'!C$24</f>
        <v>0</v>
      </c>
      <c r="K32" s="269">
        <f t="shared" si="1"/>
        <v>0</v>
      </c>
      <c r="X32" s="80">
        <v>5</v>
      </c>
      <c r="Y32" s="84">
        <v>62.972632832959611</v>
      </c>
      <c r="Z32" s="85">
        <v>1451.0311488952636</v>
      </c>
      <c r="AA32" s="82">
        <v>15.1</v>
      </c>
      <c r="AB32" s="43"/>
      <c r="AC32" s="44"/>
      <c r="AD32" s="43"/>
    </row>
    <row r="33" spans="1:34" ht="15" thickBot="1">
      <c r="A33" s="252"/>
      <c r="B33" s="253"/>
      <c r="C33" s="253" t="s">
        <v>90</v>
      </c>
      <c r="D33" s="253">
        <v>1</v>
      </c>
      <c r="E33" s="254">
        <v>160425.71426975101</v>
      </c>
      <c r="F33" s="254">
        <v>206050.98407736953</v>
      </c>
      <c r="G33" s="255">
        <v>0.51</v>
      </c>
      <c r="H33" s="136">
        <v>9.6</v>
      </c>
      <c r="I33" s="136">
        <v>20</v>
      </c>
      <c r="J33" s="268">
        <f>+('Input page'!$B$17*'Matl=f(depth)'!E33+'Matl=f(depth)'!F33)*'Input page'!C$25</f>
        <v>0</v>
      </c>
      <c r="K33" s="269">
        <f t="shared" si="1"/>
        <v>0</v>
      </c>
      <c r="X33" s="86">
        <v>6</v>
      </c>
      <c r="Y33" s="87">
        <v>75.526874477941377</v>
      </c>
      <c r="Z33" s="88">
        <v>1740.3091234393448</v>
      </c>
      <c r="AA33" s="89">
        <v>18.100000000000001</v>
      </c>
      <c r="AB33" s="43"/>
      <c r="AC33" s="44"/>
      <c r="AD33" s="43"/>
    </row>
    <row r="34" spans="1:34">
      <c r="A34" s="256"/>
      <c r="B34" s="253" t="s">
        <v>81</v>
      </c>
      <c r="C34" s="253" t="s">
        <v>82</v>
      </c>
      <c r="D34" s="253">
        <v>1</v>
      </c>
      <c r="E34" s="254">
        <v>182500.27676482784</v>
      </c>
      <c r="F34" s="254">
        <v>85328.40177721357</v>
      </c>
      <c r="G34" s="255">
        <v>0.316</v>
      </c>
      <c r="H34" s="136">
        <v>20.6</v>
      </c>
      <c r="I34" s="136">
        <v>50</v>
      </c>
      <c r="J34" s="268">
        <f>+('Input page'!$B$17*'Matl=f(depth)'!E34+'Matl=f(depth)'!F34)*'Input page'!C$27</f>
        <v>0</v>
      </c>
      <c r="K34" s="269">
        <f t="shared" si="1"/>
        <v>0</v>
      </c>
      <c r="X34" s="43"/>
      <c r="Y34" s="43"/>
      <c r="Z34" s="43"/>
      <c r="AA34" s="43"/>
      <c r="AB34" s="43"/>
      <c r="AC34" s="43"/>
      <c r="AD34" s="43"/>
    </row>
    <row r="35" spans="1:34">
      <c r="A35" s="256"/>
      <c r="B35" s="253"/>
      <c r="C35" s="253" t="s">
        <v>83</v>
      </c>
      <c r="D35" s="253"/>
      <c r="E35" s="254">
        <v>298366.02521957777</v>
      </c>
      <c r="F35" s="254">
        <v>77169.265226440693</v>
      </c>
      <c r="G35" s="255">
        <v>0.316</v>
      </c>
      <c r="H35" s="136">
        <v>20.6</v>
      </c>
      <c r="I35" s="136">
        <v>50</v>
      </c>
      <c r="J35" s="268">
        <f>+('Input page'!$B$17*'Matl=f(depth)'!E35+'Matl=f(depth)'!F35)*'Input page'!C$28</f>
        <v>0</v>
      </c>
      <c r="K35" s="269">
        <f t="shared" si="1"/>
        <v>0</v>
      </c>
      <c r="X35" s="130" t="s">
        <v>45</v>
      </c>
      <c r="Y35" s="130"/>
      <c r="Z35" s="44">
        <v>20.9</v>
      </c>
      <c r="AA35" s="43" t="s">
        <v>46</v>
      </c>
      <c r="AB35" s="43"/>
      <c r="AC35" s="43"/>
      <c r="AD35" s="43"/>
    </row>
    <row r="36" spans="1:34">
      <c r="A36" s="260"/>
      <c r="B36" s="261" t="s">
        <v>84</v>
      </c>
      <c r="C36" s="261" t="s">
        <v>85</v>
      </c>
      <c r="D36" s="261"/>
      <c r="E36" s="262">
        <v>166851.0434762011</v>
      </c>
      <c r="F36" s="262">
        <v>96814.509733829182</v>
      </c>
      <c r="G36" s="265">
        <v>0.22700000000000001</v>
      </c>
      <c r="H36" s="136">
        <v>5.2</v>
      </c>
      <c r="I36" s="136">
        <v>10</v>
      </c>
      <c r="J36" s="270">
        <f>+('Input page'!$B$17*'Matl=f(depth)'!E36+'Matl=f(depth)'!F36)*'Input page'!C$30</f>
        <v>0</v>
      </c>
      <c r="K36" s="271">
        <f t="shared" si="1"/>
        <v>0</v>
      </c>
      <c r="X36" s="43"/>
      <c r="Y36" s="43"/>
      <c r="Z36" s="59">
        <v>26.2</v>
      </c>
      <c r="AA36" s="43" t="s">
        <v>47</v>
      </c>
      <c r="AB36" s="43"/>
      <c r="AC36" s="43"/>
      <c r="AD36" s="43"/>
    </row>
    <row r="37" spans="1:34">
      <c r="A37" s="13"/>
      <c r="B37" s="13"/>
      <c r="C37" s="13"/>
      <c r="D37" s="13"/>
      <c r="E37" s="13"/>
      <c r="F37" s="13"/>
      <c r="G37" s="235"/>
      <c r="Z37" s="59">
        <v>16.2</v>
      </c>
      <c r="AA37" t="s">
        <v>48</v>
      </c>
    </row>
    <row r="38" spans="1:34">
      <c r="A38" s="13"/>
      <c r="B38" s="13"/>
      <c r="C38" s="13"/>
      <c r="D38" s="241"/>
      <c r="E38" s="242" t="s">
        <v>89</v>
      </c>
      <c r="F38" s="242" t="s">
        <v>108</v>
      </c>
      <c r="G38" s="243" t="s">
        <v>104</v>
      </c>
      <c r="AD38" t="s">
        <v>5</v>
      </c>
    </row>
    <row r="39" spans="1:34">
      <c r="A39" s="13"/>
      <c r="B39" s="13"/>
      <c r="C39" s="13"/>
      <c r="D39" s="244" t="s">
        <v>7</v>
      </c>
      <c r="E39" s="245">
        <f>+SUM(J5:J12)</f>
        <v>139.97093725834563</v>
      </c>
      <c r="F39" s="245">
        <f>+SUM(K5:K12)</f>
        <v>44.230816173637216</v>
      </c>
      <c r="G39" s="246" t="s">
        <v>105</v>
      </c>
    </row>
    <row r="40" spans="1:34">
      <c r="A40" s="13"/>
      <c r="B40" s="13"/>
      <c r="C40" s="13"/>
      <c r="D40" s="244" t="s">
        <v>19</v>
      </c>
      <c r="E40" s="245">
        <f>+SUM(J13:J20)</f>
        <v>211.76692798273837</v>
      </c>
      <c r="F40" s="245">
        <f>+SUM(K13:K20)</f>
        <v>66.918349242545318</v>
      </c>
      <c r="G40" s="246" t="s">
        <v>105</v>
      </c>
    </row>
    <row r="41" spans="1:34">
      <c r="A41" s="13"/>
      <c r="B41" s="13"/>
      <c r="C41" s="13"/>
      <c r="D41" s="244" t="s">
        <v>103</v>
      </c>
      <c r="E41" s="245">
        <f>+SUM(J21:J28)</f>
        <v>76025.424200228619</v>
      </c>
      <c r="F41" s="245">
        <f>+SUM(K21:K28)</f>
        <v>24024.034047272246</v>
      </c>
      <c r="G41" s="246" t="s">
        <v>27</v>
      </c>
    </row>
    <row r="42" spans="1:34">
      <c r="A42" s="46"/>
      <c r="B42" s="28"/>
      <c r="C42" s="13"/>
      <c r="D42" s="247" t="s">
        <v>31</v>
      </c>
      <c r="E42" s="248">
        <f>+SUM(J29:J36)</f>
        <v>359078.81692445534</v>
      </c>
      <c r="F42" s="248">
        <f>+SUM(K29:K36)</f>
        <v>113468.90614812789</v>
      </c>
      <c r="G42" s="249" t="s">
        <v>106</v>
      </c>
    </row>
    <row r="43" spans="1:34">
      <c r="A43" s="199"/>
      <c r="B43" s="28"/>
      <c r="C43" s="13"/>
      <c r="D43" s="59"/>
      <c r="E43" s="198"/>
      <c r="F43" s="198"/>
      <c r="G43" s="13"/>
      <c r="Y43" s="620" t="s">
        <v>49</v>
      </c>
      <c r="Z43" s="621"/>
      <c r="AA43" s="621"/>
      <c r="AB43" s="621"/>
      <c r="AC43" s="621"/>
      <c r="AD43" s="621"/>
      <c r="AE43" s="622"/>
    </row>
    <row r="44" spans="1:34">
      <c r="A44" s="13"/>
      <c r="B44" s="43"/>
      <c r="C44" s="43"/>
      <c r="D44" s="43"/>
      <c r="E44" s="236"/>
      <c r="F44" s="236"/>
      <c r="G44" s="43"/>
      <c r="H44" s="43"/>
      <c r="I44" s="43"/>
      <c r="J44" s="43"/>
      <c r="W44" s="60"/>
      <c r="X44" s="90" t="s">
        <v>41</v>
      </c>
      <c r="Y44" s="90"/>
      <c r="Z44" s="61"/>
      <c r="AA44" s="62"/>
      <c r="AB44" s="63" t="s">
        <v>0</v>
      </c>
      <c r="AC44" s="91"/>
      <c r="AD44" s="64"/>
      <c r="AE44" s="92"/>
      <c r="AF44" s="93" t="s">
        <v>50</v>
      </c>
      <c r="AG44" s="93"/>
      <c r="AH44" s="94"/>
    </row>
    <row r="45" spans="1:34">
      <c r="A45" s="13"/>
      <c r="B45" s="43"/>
      <c r="C45" s="43"/>
      <c r="D45" s="43"/>
      <c r="E45" s="237"/>
      <c r="F45" s="237"/>
      <c r="G45" s="43"/>
      <c r="H45" s="43"/>
      <c r="I45" s="43" t="s">
        <v>5</v>
      </c>
      <c r="J45" s="43"/>
      <c r="W45" s="65" t="s">
        <v>38</v>
      </c>
      <c r="X45" s="66" t="s">
        <v>39</v>
      </c>
      <c r="Y45" s="66" t="s">
        <v>40</v>
      </c>
      <c r="Z45" s="95"/>
      <c r="AA45" s="67" t="s">
        <v>38</v>
      </c>
      <c r="AB45" s="68" t="s">
        <v>39</v>
      </c>
      <c r="AC45" s="68" t="s">
        <v>40</v>
      </c>
      <c r="AD45" s="96"/>
      <c r="AE45" s="97" t="s">
        <v>36</v>
      </c>
      <c r="AF45" s="52" t="s">
        <v>38</v>
      </c>
      <c r="AG45" s="98"/>
      <c r="AH45" s="99"/>
    </row>
    <row r="46" spans="1:34">
      <c r="A46" s="13"/>
      <c r="B46" s="43"/>
      <c r="C46" s="28"/>
      <c r="D46" s="28"/>
      <c r="E46" s="236"/>
      <c r="F46" s="236"/>
      <c r="G46" s="236"/>
      <c r="H46" s="43"/>
      <c r="I46" s="43"/>
      <c r="J46" s="43"/>
      <c r="W46" s="65">
        <v>0.67</v>
      </c>
      <c r="X46" s="71">
        <v>62.338811635917693</v>
      </c>
      <c r="Y46" s="71">
        <v>18.084239048047316</v>
      </c>
      <c r="Z46" s="95"/>
      <c r="AA46" s="67">
        <v>1.5</v>
      </c>
      <c r="AB46" s="73">
        <v>87.247974328888219</v>
      </c>
      <c r="AC46" s="73">
        <v>27.788055096510252</v>
      </c>
      <c r="AD46" s="96"/>
      <c r="AE46" s="100">
        <v>1</v>
      </c>
      <c r="AF46" s="52">
        <v>4</v>
      </c>
      <c r="AG46" s="101">
        <v>302.87621422301078</v>
      </c>
      <c r="AH46" s="102">
        <v>154.53182862954577</v>
      </c>
    </row>
    <row r="47" spans="1:34">
      <c r="A47" s="13"/>
      <c r="B47" s="43"/>
      <c r="C47" s="28"/>
      <c r="D47" s="28"/>
      <c r="E47" s="43"/>
      <c r="F47" s="236"/>
      <c r="G47" s="236"/>
      <c r="H47" s="43"/>
      <c r="I47" s="43"/>
      <c r="J47" s="43"/>
      <c r="W47" s="65">
        <v>1</v>
      </c>
      <c r="X47" s="71">
        <v>82.638075746725136</v>
      </c>
      <c r="Y47" s="71">
        <v>23.570799576249517</v>
      </c>
      <c r="Z47" s="95"/>
      <c r="AA47" s="67">
        <v>2</v>
      </c>
      <c r="AB47" s="73">
        <v>109.92202964682876</v>
      </c>
      <c r="AC47" s="73">
        <v>34.615479844953271</v>
      </c>
      <c r="AD47" s="96"/>
      <c r="AE47" s="100">
        <v>1</v>
      </c>
      <c r="AF47" s="52">
        <v>4.95</v>
      </c>
      <c r="AG47" s="101">
        <v>367.9448757983775</v>
      </c>
      <c r="AH47" s="102">
        <v>193.60681934863985</v>
      </c>
    </row>
    <row r="48" spans="1:34">
      <c r="A48" s="199"/>
      <c r="B48" s="28"/>
      <c r="C48" s="28"/>
      <c r="D48" s="28"/>
      <c r="E48" s="43"/>
      <c r="F48" s="236"/>
      <c r="G48" s="236"/>
      <c r="H48" s="43"/>
      <c r="I48" s="43"/>
      <c r="J48" s="43"/>
      <c r="W48" s="65">
        <v>1.5</v>
      </c>
      <c r="X48" s="71">
        <v>108.56579310083251</v>
      </c>
      <c r="Y48" s="71">
        <v>30.402785332672014</v>
      </c>
      <c r="Z48" s="95"/>
      <c r="AA48" s="67">
        <v>2.0499999999999998</v>
      </c>
      <c r="AB48" s="73">
        <v>179.16556297092157</v>
      </c>
      <c r="AC48" s="73">
        <v>56.420919026476533</v>
      </c>
      <c r="AD48" s="96"/>
      <c r="AE48" s="100">
        <v>2</v>
      </c>
      <c r="AF48" s="52">
        <v>5.05</v>
      </c>
      <c r="AG48" s="101">
        <v>616.89992661193946</v>
      </c>
      <c r="AH48" s="102">
        <v>324.60306014206907</v>
      </c>
    </row>
    <row r="49" spans="1:34">
      <c r="A49" s="199"/>
      <c r="B49" s="28"/>
      <c r="C49" s="28"/>
      <c r="D49" s="28"/>
      <c r="E49" s="43"/>
      <c r="F49" s="236"/>
      <c r="G49" s="236"/>
      <c r="H49" s="43"/>
      <c r="I49" s="43"/>
      <c r="J49" s="43"/>
      <c r="W49" s="65">
        <v>1.95</v>
      </c>
      <c r="X49" s="71">
        <v>132.63278612532434</v>
      </c>
      <c r="Y49" s="71">
        <v>36.162761084516127</v>
      </c>
      <c r="Z49" s="95"/>
      <c r="AA49" s="67">
        <v>2.5</v>
      </c>
      <c r="AB49" s="73">
        <v>235.51267801257967</v>
      </c>
      <c r="AC49" s="73">
        <v>73.941663850657662</v>
      </c>
      <c r="AD49" s="96"/>
      <c r="AE49" s="100">
        <v>2</v>
      </c>
      <c r="AF49" s="52">
        <v>5.95</v>
      </c>
      <c r="AG49" s="101">
        <v>707.66921218803179</v>
      </c>
      <c r="AH49" s="102">
        <v>388.55612875803496</v>
      </c>
    </row>
    <row r="50" spans="1:34">
      <c r="A50" s="46"/>
      <c r="B50" s="28"/>
      <c r="C50" s="28"/>
      <c r="D50" s="28"/>
      <c r="E50" s="43"/>
      <c r="F50" s="236"/>
      <c r="G50" s="236"/>
      <c r="H50" s="43"/>
      <c r="I50" s="43"/>
      <c r="J50" s="43"/>
      <c r="W50" s="103"/>
      <c r="X50" s="95"/>
      <c r="Y50" s="71"/>
      <c r="Z50" s="95"/>
      <c r="AA50" s="67">
        <v>3</v>
      </c>
      <c r="AB50" s="73">
        <v>260.04698304498669</v>
      </c>
      <c r="AC50" s="73">
        <v>81.401101483801099</v>
      </c>
      <c r="AD50" s="96"/>
      <c r="AE50" s="100">
        <v>3</v>
      </c>
      <c r="AF50" s="52">
        <v>6.05</v>
      </c>
      <c r="AG50" s="101">
        <v>966.68182382383657</v>
      </c>
      <c r="AH50" s="102">
        <v>530.77079055679644</v>
      </c>
    </row>
    <row r="51" spans="1:34">
      <c r="A51" s="199"/>
      <c r="B51" s="28"/>
      <c r="C51" s="28"/>
      <c r="D51" s="28"/>
      <c r="E51" s="43"/>
      <c r="F51" s="236"/>
      <c r="G51" s="236"/>
      <c r="H51" s="43"/>
      <c r="I51" s="43"/>
      <c r="J51" s="43"/>
      <c r="W51" s="104"/>
      <c r="X51" s="76"/>
      <c r="Y51" s="76"/>
      <c r="Z51" s="105"/>
      <c r="AA51" s="106"/>
      <c r="AB51" s="107"/>
      <c r="AC51" s="107"/>
      <c r="AD51" s="108"/>
      <c r="AE51" s="109"/>
      <c r="AF51" s="110"/>
      <c r="AG51" s="110"/>
      <c r="AH51" s="111"/>
    </row>
    <row r="52" spans="1:34">
      <c r="A52" s="199"/>
      <c r="B52" s="28"/>
      <c r="C52" s="59"/>
      <c r="D52" s="43"/>
      <c r="E52" s="43"/>
      <c r="F52" s="43"/>
      <c r="G52" s="43"/>
      <c r="H52" s="43"/>
      <c r="I52" s="43"/>
      <c r="J52" s="43"/>
      <c r="AC52" s="43"/>
      <c r="AD52" s="44"/>
      <c r="AE52" s="112"/>
      <c r="AF52" s="43"/>
      <c r="AG52" s="43"/>
    </row>
    <row r="53" spans="1:34">
      <c r="AC53" s="43"/>
      <c r="AD53" s="44"/>
      <c r="AE53" s="43"/>
      <c r="AF53" s="43"/>
      <c r="AG53" s="44"/>
    </row>
    <row r="54" spans="1:34">
      <c r="W54" s="43"/>
      <c r="X54" s="43"/>
      <c r="Y54" s="43"/>
      <c r="Z54" s="43"/>
      <c r="AC54" s="43"/>
      <c r="AD54" s="44"/>
      <c r="AE54" s="43"/>
      <c r="AF54" s="43"/>
      <c r="AG54" s="44"/>
    </row>
    <row r="55" spans="1:34">
      <c r="W55" s="190" t="s">
        <v>51</v>
      </c>
      <c r="X55" s="191"/>
      <c r="Y55" s="191"/>
      <c r="Z55" s="192"/>
      <c r="AC55" s="43"/>
      <c r="AD55" s="44"/>
      <c r="AE55" s="43"/>
      <c r="AF55" s="43"/>
      <c r="AG55" s="44"/>
    </row>
    <row r="56" spans="1:34">
      <c r="W56" s="113" t="s">
        <v>38</v>
      </c>
      <c r="X56" s="81" t="s">
        <v>43</v>
      </c>
      <c r="Y56" s="81" t="s">
        <v>33</v>
      </c>
      <c r="Z56" s="82" t="s">
        <v>44</v>
      </c>
      <c r="AC56" s="43"/>
      <c r="AD56" s="44"/>
      <c r="AE56" s="43"/>
      <c r="AF56" s="43"/>
      <c r="AG56" s="44"/>
    </row>
    <row r="57" spans="1:34">
      <c r="W57" s="114">
        <v>4</v>
      </c>
      <c r="X57" s="115">
        <v>73.249048948584658</v>
      </c>
      <c r="Y57" s="116">
        <v>1687.8228981355248</v>
      </c>
      <c r="Z57" s="117">
        <v>17.5</v>
      </c>
      <c r="AC57" s="43"/>
      <c r="AD57" s="44"/>
      <c r="AE57" s="43"/>
      <c r="AF57" s="43"/>
      <c r="AG57" s="44"/>
    </row>
    <row r="58" spans="1:34">
      <c r="W58" s="118">
        <v>5</v>
      </c>
      <c r="X58" s="115">
        <v>91.56131118573083</v>
      </c>
      <c r="Y58" s="116">
        <v>2109.7786226694061</v>
      </c>
      <c r="Z58" s="117">
        <v>21.9</v>
      </c>
      <c r="AC58" s="43"/>
      <c r="AD58" s="44"/>
      <c r="AE58" s="43"/>
      <c r="AF58" s="43"/>
      <c r="AG58" s="44"/>
    </row>
    <row r="59" spans="1:34">
      <c r="W59" s="119">
        <v>6</v>
      </c>
      <c r="X59" s="120">
        <v>109.87357342287699</v>
      </c>
      <c r="Y59" s="121">
        <v>2531.7343472032871</v>
      </c>
      <c r="Z59" s="122">
        <v>26.3</v>
      </c>
      <c r="AC59" s="43"/>
      <c r="AD59" s="43"/>
      <c r="AE59" s="43"/>
      <c r="AF59" s="43"/>
      <c r="AG59" s="43"/>
    </row>
    <row r="60" spans="1:34">
      <c r="W60" s="43"/>
      <c r="X60" s="43"/>
      <c r="Y60" s="43"/>
      <c r="Z60" s="59"/>
      <c r="AE60" s="43"/>
      <c r="AF60" s="43"/>
      <c r="AG60" s="43"/>
    </row>
    <row r="61" spans="1:34">
      <c r="W61" s="43"/>
      <c r="X61" s="59"/>
      <c r="Y61" s="43"/>
      <c r="Z61" s="59"/>
    </row>
    <row r="62" spans="1:34">
      <c r="W62" s="43"/>
      <c r="X62" s="59"/>
      <c r="Y62" s="43"/>
      <c r="Z62" s="43"/>
    </row>
    <row r="63" spans="1:34">
      <c r="W63" s="43"/>
      <c r="X63" s="59"/>
      <c r="Y63" s="43"/>
      <c r="Z63" s="59"/>
    </row>
    <row r="64" spans="1:34">
      <c r="W64" s="43"/>
      <c r="X64" s="43"/>
      <c r="Y64" s="43"/>
      <c r="Z64" s="43"/>
    </row>
    <row r="65" spans="23:35">
      <c r="W65" s="43"/>
      <c r="X65" s="43"/>
      <c r="Y65" s="43"/>
      <c r="Z65" s="43"/>
    </row>
    <row r="66" spans="23:35">
      <c r="W66" s="43"/>
      <c r="X66" s="43"/>
      <c r="Y66" s="43"/>
      <c r="Z66" s="43"/>
    </row>
    <row r="71" spans="23:35">
      <c r="W71" s="43"/>
      <c r="X71" s="43"/>
      <c r="Y71" s="43"/>
      <c r="Z71" s="43"/>
      <c r="AA71" s="43"/>
      <c r="AB71" s="43"/>
      <c r="AC71" s="43"/>
      <c r="AD71" s="43"/>
      <c r="AE71" s="43"/>
      <c r="AF71" s="43"/>
      <c r="AG71" s="43"/>
    </row>
    <row r="72" spans="23:35">
      <c r="W72" s="43"/>
      <c r="X72" s="43"/>
      <c r="Y72" s="43"/>
      <c r="Z72" s="620" t="s">
        <v>74</v>
      </c>
      <c r="AA72" s="621"/>
      <c r="AB72" s="621"/>
      <c r="AC72" s="621"/>
      <c r="AD72" s="621"/>
      <c r="AE72" s="621"/>
      <c r="AF72" s="621"/>
      <c r="AG72" s="622"/>
    </row>
    <row r="73" spans="23:35">
      <c r="W73" s="43"/>
      <c r="X73" s="60"/>
      <c r="Y73" s="90" t="s">
        <v>41</v>
      </c>
      <c r="Z73" s="90"/>
      <c r="AA73" s="61"/>
      <c r="AB73" s="62"/>
      <c r="AC73" s="63" t="s">
        <v>0</v>
      </c>
      <c r="AD73" s="91"/>
      <c r="AE73" s="64"/>
      <c r="AF73" s="92"/>
      <c r="AG73" s="93" t="s">
        <v>50</v>
      </c>
      <c r="AH73" s="93"/>
      <c r="AI73" s="94"/>
    </row>
    <row r="74" spans="23:35">
      <c r="W74" s="43"/>
      <c r="X74" s="65" t="s">
        <v>38</v>
      </c>
      <c r="Y74" s="66" t="s">
        <v>39</v>
      </c>
      <c r="Z74" s="66" t="s">
        <v>40</v>
      </c>
      <c r="AA74" s="95"/>
      <c r="AB74" s="67" t="s">
        <v>38</v>
      </c>
      <c r="AC74" s="68" t="s">
        <v>39</v>
      </c>
      <c r="AD74" s="68" t="s">
        <v>40</v>
      </c>
      <c r="AE74" s="96"/>
      <c r="AF74" s="97" t="s">
        <v>36</v>
      </c>
      <c r="AG74" s="52" t="s">
        <v>38</v>
      </c>
      <c r="AH74" s="98"/>
      <c r="AI74" s="99"/>
    </row>
    <row r="75" spans="23:35">
      <c r="W75" s="43"/>
      <c r="X75" s="65">
        <v>0.67</v>
      </c>
      <c r="Y75" s="123">
        <v>24714.654404542296</v>
      </c>
      <c r="Z75" s="123">
        <v>7169.6220462454585</v>
      </c>
      <c r="AA75" s="95"/>
      <c r="AB75" s="67">
        <v>1.5</v>
      </c>
      <c r="AC75" s="124">
        <v>31322.474770494191</v>
      </c>
      <c r="AD75" s="124">
        <v>9976.0557351227162</v>
      </c>
      <c r="AE75" s="96"/>
      <c r="AF75" s="100">
        <v>1</v>
      </c>
      <c r="AG75" s="52">
        <v>4</v>
      </c>
      <c r="AH75" s="101">
        <v>104930.71713855982</v>
      </c>
      <c r="AI75" s="102">
        <v>53537.170756142317</v>
      </c>
    </row>
    <row r="76" spans="23:35">
      <c r="W76" s="43"/>
      <c r="X76" s="65">
        <v>1</v>
      </c>
      <c r="Y76" s="123">
        <v>31100.559270602273</v>
      </c>
      <c r="Z76" s="123">
        <v>8870.7904032444221</v>
      </c>
      <c r="AA76" s="95"/>
      <c r="AB76" s="67">
        <v>2</v>
      </c>
      <c r="AC76" s="124">
        <v>38339.420569003887</v>
      </c>
      <c r="AD76" s="124">
        <v>12073.443733140064</v>
      </c>
      <c r="AE76" s="96"/>
      <c r="AF76" s="100">
        <v>1</v>
      </c>
      <c r="AG76" s="52">
        <v>4.95</v>
      </c>
      <c r="AH76" s="101">
        <v>190405.45559379205</v>
      </c>
      <c r="AI76" s="102">
        <v>100188.36262946896</v>
      </c>
    </row>
    <row r="77" spans="23:35">
      <c r="W77" s="43"/>
      <c r="X77" s="65">
        <v>1.5</v>
      </c>
      <c r="Y77" s="123">
        <v>38975.682146165076</v>
      </c>
      <c r="Z77" s="123">
        <v>10914.757435463598</v>
      </c>
      <c r="AA77" s="125"/>
      <c r="AB77" s="126">
        <v>2.0499999999999998</v>
      </c>
      <c r="AC77" s="124">
        <v>38339.420569003887</v>
      </c>
      <c r="AD77" s="124">
        <v>12073.443733140135</v>
      </c>
      <c r="AE77" s="96"/>
      <c r="AF77" s="100">
        <v>2</v>
      </c>
      <c r="AG77" s="52">
        <v>5.05</v>
      </c>
      <c r="AH77" s="101">
        <v>190405.45559379205</v>
      </c>
      <c r="AI77" s="102">
        <v>100188.3626294689</v>
      </c>
    </row>
    <row r="78" spans="23:35">
      <c r="W78" s="43"/>
      <c r="X78" s="65">
        <v>1.95</v>
      </c>
      <c r="Y78" s="123">
        <v>46260.646613199227</v>
      </c>
      <c r="Z78" s="123">
        <v>12613.115956922018</v>
      </c>
      <c r="AA78" s="95"/>
      <c r="AB78" s="67">
        <v>2.5</v>
      </c>
      <c r="AC78" s="124">
        <v>45207.362017245796</v>
      </c>
      <c r="AD78" s="124">
        <v>14193.323238741441</v>
      </c>
      <c r="AE78" s="96"/>
      <c r="AF78" s="100">
        <v>2</v>
      </c>
      <c r="AG78" s="52">
        <v>5.95</v>
      </c>
      <c r="AH78" s="101">
        <v>229703.27038139119</v>
      </c>
      <c r="AI78" s="102">
        <v>126121.93941078027</v>
      </c>
    </row>
    <row r="79" spans="23:35">
      <c r="W79" s="43"/>
      <c r="X79" s="103"/>
      <c r="Y79" s="95"/>
      <c r="Z79" s="71"/>
      <c r="AA79" s="95"/>
      <c r="AB79" s="67">
        <v>3</v>
      </c>
      <c r="AC79" s="124">
        <v>52038.12229132939</v>
      </c>
      <c r="AD79" s="124">
        <v>16289.212141831149</v>
      </c>
      <c r="AE79" s="96"/>
      <c r="AF79" s="100">
        <v>3</v>
      </c>
      <c r="AG79" s="52">
        <v>6.05</v>
      </c>
      <c r="AH79" s="101">
        <v>253142.37960398212</v>
      </c>
      <c r="AI79" s="102">
        <v>138991.52506494161</v>
      </c>
    </row>
    <row r="80" spans="23:35">
      <c r="W80" s="43"/>
      <c r="X80" s="104"/>
      <c r="Y80" s="76"/>
      <c r="Z80" s="76"/>
      <c r="AA80" s="105"/>
      <c r="AB80" s="106"/>
      <c r="AC80" s="107"/>
      <c r="AD80" s="107"/>
      <c r="AE80" s="108"/>
      <c r="AF80" s="109"/>
      <c r="AG80" s="110"/>
      <c r="AH80" s="110"/>
      <c r="AI80" s="111"/>
    </row>
    <row r="81" spans="15:35" ht="15" thickBot="1">
      <c r="W81" s="43"/>
      <c r="X81" s="43"/>
      <c r="Y81" s="43"/>
      <c r="Z81" s="43"/>
      <c r="AA81" s="43"/>
      <c r="AB81" s="43"/>
      <c r="AC81" s="43"/>
      <c r="AD81" s="59"/>
      <c r="AE81" s="43"/>
      <c r="AF81" s="43"/>
      <c r="AG81" s="59"/>
    </row>
    <row r="82" spans="15:35">
      <c r="W82" s="43"/>
      <c r="X82" s="187" t="s">
        <v>52</v>
      </c>
      <c r="Y82" s="188"/>
      <c r="Z82" s="189"/>
      <c r="AA82" s="43"/>
      <c r="AB82" s="43"/>
      <c r="AC82" s="43"/>
      <c r="AD82" s="59"/>
      <c r="AE82" s="43"/>
      <c r="AF82" s="43"/>
      <c r="AG82" s="59"/>
    </row>
    <row r="83" spans="15:35">
      <c r="W83" s="43"/>
      <c r="X83" s="127" t="s">
        <v>38</v>
      </c>
      <c r="Y83" s="128" t="s">
        <v>53</v>
      </c>
      <c r="Z83" s="129" t="s">
        <v>34</v>
      </c>
      <c r="AA83" s="43"/>
      <c r="AB83" s="43"/>
      <c r="AC83" s="43"/>
      <c r="AD83" s="59"/>
      <c r="AE83" s="43"/>
      <c r="AF83" s="43"/>
      <c r="AG83" s="59"/>
    </row>
    <row r="84" spans="15:35">
      <c r="O84" s="83"/>
      <c r="W84" s="43"/>
      <c r="X84" s="127">
        <v>4</v>
      </c>
      <c r="Y84" s="131">
        <v>38508.382332792746</v>
      </c>
      <c r="Z84" s="129">
        <v>212635.45330392823</v>
      </c>
      <c r="AA84" s="43"/>
      <c r="AB84" s="43"/>
      <c r="AC84" s="43"/>
      <c r="AD84" s="59"/>
      <c r="AE84" s="43"/>
      <c r="AF84" s="43"/>
      <c r="AG84" s="43"/>
    </row>
    <row r="85" spans="15:35">
      <c r="W85" s="43"/>
      <c r="X85" s="132">
        <v>5</v>
      </c>
      <c r="Y85" s="131">
        <v>48645.972432509152</v>
      </c>
      <c r="Z85" s="129">
        <v>268613.16349787085</v>
      </c>
      <c r="AA85" s="43"/>
      <c r="AB85" s="43"/>
      <c r="AC85" s="43"/>
      <c r="AD85" s="43"/>
      <c r="AE85" s="43"/>
      <c r="AF85" s="43"/>
      <c r="AG85" s="43"/>
    </row>
    <row r="86" spans="15:35" ht="15" thickBot="1">
      <c r="W86" s="43"/>
      <c r="X86" s="133">
        <v>6</v>
      </c>
      <c r="Y86" s="134">
        <v>58956.950253171912</v>
      </c>
      <c r="Z86" s="135">
        <v>325548.28541381576</v>
      </c>
      <c r="AA86" s="43"/>
      <c r="AB86" s="43"/>
      <c r="AC86" s="43"/>
      <c r="AD86" s="43"/>
      <c r="AE86" s="43"/>
      <c r="AF86" s="43"/>
      <c r="AG86" s="43"/>
    </row>
    <row r="87" spans="15:35">
      <c r="W87" s="43"/>
      <c r="AA87" s="43"/>
      <c r="AB87" s="43"/>
      <c r="AC87" s="43"/>
      <c r="AD87" s="43"/>
      <c r="AE87" s="43"/>
      <c r="AF87" s="43"/>
      <c r="AG87" s="43"/>
    </row>
    <row r="88" spans="15:35">
      <c r="W88" s="43"/>
      <c r="X88" s="59"/>
      <c r="Y88" s="43"/>
      <c r="Z88" s="59"/>
      <c r="AA88" s="43"/>
      <c r="AB88" s="43"/>
      <c r="AC88" s="43"/>
      <c r="AD88" s="43"/>
      <c r="AE88" s="43"/>
      <c r="AF88" s="43"/>
      <c r="AG88" s="43"/>
    </row>
    <row r="89" spans="15:35">
      <c r="W89" s="43"/>
      <c r="X89" s="59"/>
      <c r="Y89" s="43"/>
      <c r="Z89" s="43"/>
      <c r="AA89" s="43"/>
      <c r="AB89" s="43"/>
      <c r="AC89" s="43"/>
      <c r="AD89" s="43"/>
      <c r="AE89" s="43"/>
      <c r="AF89" s="43"/>
      <c r="AG89" s="43"/>
    </row>
    <row r="90" spans="15:35">
      <c r="W90" s="43"/>
      <c r="X90" s="59"/>
      <c r="Y90" s="43"/>
      <c r="Z90" s="675" t="s">
        <v>54</v>
      </c>
      <c r="AA90" s="676"/>
      <c r="AB90" s="676"/>
      <c r="AC90" s="676"/>
      <c r="AD90" s="676"/>
      <c r="AE90" s="676"/>
      <c r="AF90" s="677"/>
      <c r="AG90" s="194"/>
      <c r="AH90" s="194"/>
    </row>
    <row r="91" spans="15:35">
      <c r="W91" s="43"/>
      <c r="X91" s="60"/>
      <c r="Y91" s="90" t="s">
        <v>41</v>
      </c>
      <c r="Z91" s="90"/>
      <c r="AA91" s="61"/>
      <c r="AB91" s="62"/>
      <c r="AC91" s="63" t="s">
        <v>0</v>
      </c>
      <c r="AD91" s="91"/>
      <c r="AE91" s="64"/>
      <c r="AF91" s="92"/>
      <c r="AG91" s="93" t="s">
        <v>50</v>
      </c>
      <c r="AH91" s="93"/>
      <c r="AI91" s="94"/>
    </row>
    <row r="92" spans="15:35">
      <c r="W92" s="43"/>
      <c r="X92" s="65" t="s">
        <v>38</v>
      </c>
      <c r="Y92" s="66" t="s">
        <v>39</v>
      </c>
      <c r="Z92" s="66" t="s">
        <v>40</v>
      </c>
      <c r="AA92" s="95"/>
      <c r="AB92" s="67" t="s">
        <v>38</v>
      </c>
      <c r="AC92" s="68" t="s">
        <v>39</v>
      </c>
      <c r="AD92" s="68" t="s">
        <v>40</v>
      </c>
      <c r="AE92" s="96"/>
      <c r="AF92" s="97" t="s">
        <v>36</v>
      </c>
      <c r="AG92" s="52" t="s">
        <v>38</v>
      </c>
      <c r="AH92" s="98" t="s">
        <v>39</v>
      </c>
      <c r="AI92" s="99" t="s">
        <v>40</v>
      </c>
    </row>
    <row r="93" spans="15:35">
      <c r="X93" s="65">
        <v>0.67</v>
      </c>
      <c r="Y93" s="123">
        <v>410575.78798392811</v>
      </c>
      <c r="Z93" s="123">
        <v>119106.38817766173</v>
      </c>
      <c r="AA93" s="95"/>
      <c r="AB93" s="67">
        <v>1.5</v>
      </c>
      <c r="AC93" s="41">
        <v>559954.68868833419</v>
      </c>
      <c r="AD93" s="124">
        <v>178342.84246148588</v>
      </c>
      <c r="AE93" s="96"/>
      <c r="AF93" s="100">
        <v>1</v>
      </c>
      <c r="AG93" s="52">
        <v>4</v>
      </c>
      <c r="AH93" s="25">
        <v>1540199.1786128995</v>
      </c>
      <c r="AI93" s="26">
        <v>785831.91531021567</v>
      </c>
    </row>
    <row r="94" spans="15:35">
      <c r="X94" s="65">
        <v>1</v>
      </c>
      <c r="Y94" s="123">
        <v>534482.16626806802</v>
      </c>
      <c r="Z94" s="123">
        <v>152449.96818168959</v>
      </c>
      <c r="AA94" s="95"/>
      <c r="AB94" s="67">
        <v>2</v>
      </c>
      <c r="AC94" s="41">
        <v>702251.97948463808</v>
      </c>
      <c r="AD94" s="124">
        <v>221145.74594402366</v>
      </c>
      <c r="AE94" s="96"/>
      <c r="AF94" s="100">
        <v>1</v>
      </c>
      <c r="AG94" s="52">
        <v>4.95</v>
      </c>
      <c r="AH94" s="25">
        <v>1831660.6162981831</v>
      </c>
      <c r="AI94" s="26">
        <v>963791.07136141404</v>
      </c>
    </row>
    <row r="95" spans="15:35">
      <c r="X95" s="65">
        <v>1.5</v>
      </c>
      <c r="Y95" s="123">
        <v>696771.76284710877</v>
      </c>
      <c r="Z95" s="123">
        <v>195124.09688780378</v>
      </c>
      <c r="AA95" s="95"/>
      <c r="AB95" s="126">
        <v>2.0499999999999998</v>
      </c>
      <c r="AC95" s="41">
        <v>1050895.1896752443</v>
      </c>
      <c r="AD95" s="124">
        <v>330936.76830967667</v>
      </c>
      <c r="AE95" s="96"/>
      <c r="AF95" s="100">
        <v>2</v>
      </c>
      <c r="AG95" s="52">
        <v>5.05</v>
      </c>
      <c r="AH95" s="25">
        <v>2668788.7140195812</v>
      </c>
      <c r="AI95" s="26">
        <v>1404274.7390182733</v>
      </c>
    </row>
    <row r="96" spans="15:35">
      <c r="X96" s="65">
        <v>1.95</v>
      </c>
      <c r="Y96" s="123">
        <v>847342.76559784054</v>
      </c>
      <c r="Z96" s="123">
        <v>231030.76459582231</v>
      </c>
      <c r="AA96" s="95"/>
      <c r="AB96" s="67">
        <v>2.5</v>
      </c>
      <c r="AC96" s="41">
        <v>1351128.2916361073</v>
      </c>
      <c r="AD96" s="124">
        <v>424200.83199909126</v>
      </c>
      <c r="AE96" s="96"/>
      <c r="AF96" s="100">
        <v>2</v>
      </c>
      <c r="AG96" s="52">
        <v>5.95</v>
      </c>
      <c r="AH96" s="25">
        <v>3033131.4318018281</v>
      </c>
      <c r="AI96" s="26">
        <v>1665385.1642228696</v>
      </c>
    </row>
    <row r="97" spans="17:35">
      <c r="X97" s="103"/>
      <c r="Y97" s="95"/>
      <c r="Z97" s="71"/>
      <c r="AA97" s="95"/>
      <c r="AB97" s="67">
        <v>3</v>
      </c>
      <c r="AC97" s="41">
        <v>1516173.1367231584</v>
      </c>
      <c r="AD97" s="124">
        <v>474599.48169467592</v>
      </c>
      <c r="AE97" s="96"/>
      <c r="AF97" s="100">
        <v>3</v>
      </c>
      <c r="AG97" s="52">
        <v>6.05</v>
      </c>
      <c r="AH97" s="25">
        <v>5453461.1001685811</v>
      </c>
      <c r="AI97" s="26">
        <v>2994302.5596131422</v>
      </c>
    </row>
    <row r="98" spans="17:35">
      <c r="X98" s="104"/>
      <c r="Y98" s="76"/>
      <c r="Z98" s="76"/>
      <c r="AA98" s="105"/>
      <c r="AB98" s="106"/>
      <c r="AC98" s="107"/>
      <c r="AD98" s="107"/>
      <c r="AE98" s="108"/>
      <c r="AF98" s="109"/>
      <c r="AG98" s="110"/>
      <c r="AH98" s="110"/>
      <c r="AI98" s="111"/>
    </row>
    <row r="99" spans="17:35">
      <c r="X99" s="43"/>
      <c r="Y99" s="43"/>
      <c r="Z99" s="43"/>
      <c r="AA99" s="43"/>
      <c r="AB99" s="43"/>
      <c r="AC99" s="43"/>
      <c r="AD99" s="59"/>
      <c r="AE99" s="43"/>
      <c r="AF99" s="43"/>
      <c r="AG99" s="59"/>
    </row>
    <row r="100" spans="17:35">
      <c r="X100" s="195" t="s">
        <v>52</v>
      </c>
      <c r="Y100" s="196"/>
      <c r="Z100" s="196"/>
      <c r="AA100" s="196"/>
      <c r="AB100" s="197"/>
      <c r="AC100" s="43"/>
      <c r="AD100" s="59"/>
      <c r="AE100" s="43"/>
      <c r="AF100" s="43"/>
      <c r="AG100" s="59"/>
    </row>
    <row r="101" spans="17:35">
      <c r="X101" s="176" t="s">
        <v>38</v>
      </c>
      <c r="Y101" s="171" t="s">
        <v>53</v>
      </c>
      <c r="Z101" s="173" t="s">
        <v>34</v>
      </c>
      <c r="AA101" s="174" t="s">
        <v>48</v>
      </c>
      <c r="AB101" s="177" t="s">
        <v>47</v>
      </c>
      <c r="AC101" s="43"/>
      <c r="AD101" s="59"/>
      <c r="AE101" s="43"/>
      <c r="AF101" s="43"/>
      <c r="AG101" s="59"/>
    </row>
    <row r="102" spans="17:35">
      <c r="X102" s="176">
        <v>4</v>
      </c>
      <c r="Y102" s="172">
        <v>349523.9234449761</v>
      </c>
      <c r="Z102" s="173">
        <v>1930000</v>
      </c>
      <c r="AA102" s="175">
        <v>101405.08890070295</v>
      </c>
      <c r="AB102" s="178">
        <v>70705.221154899744</v>
      </c>
      <c r="AC102" s="43"/>
      <c r="AD102" s="59"/>
      <c r="AE102" s="43"/>
      <c r="AF102" s="43"/>
      <c r="AG102" s="43"/>
    </row>
    <row r="103" spans="17:35">
      <c r="Q103" s="83"/>
      <c r="R103" s="83"/>
      <c r="S103" s="47"/>
      <c r="X103" s="184">
        <v>5</v>
      </c>
      <c r="Y103" s="172">
        <v>438263.15789473685</v>
      </c>
      <c r="Z103" s="173">
        <v>2420000</v>
      </c>
      <c r="AA103" s="175">
        <v>127150.42235217674</v>
      </c>
      <c r="AB103" s="178">
        <v>88656.287665729236</v>
      </c>
      <c r="AC103" s="43"/>
      <c r="AD103" s="43"/>
      <c r="AE103" s="43"/>
      <c r="AF103" s="43"/>
      <c r="AG103" s="43"/>
    </row>
    <row r="104" spans="17:35">
      <c r="Q104" s="83"/>
      <c r="R104" s="83"/>
      <c r="S104" s="47"/>
      <c r="X104" s="179">
        <v>6</v>
      </c>
      <c r="Y104" s="180">
        <v>525191.38755980867</v>
      </c>
      <c r="Z104" s="181">
        <v>2900000</v>
      </c>
      <c r="AA104" s="182">
        <v>152370.34083525313</v>
      </c>
      <c r="AB104" s="183">
        <v>106241.00588041934</v>
      </c>
      <c r="AC104" s="43"/>
      <c r="AD104" s="43"/>
      <c r="AE104" s="43"/>
      <c r="AF104" s="43"/>
      <c r="AG104" s="43"/>
    </row>
    <row r="105" spans="17:35">
      <c r="Q105" s="83"/>
      <c r="R105" s="83"/>
      <c r="S105" s="47"/>
      <c r="AA105" s="43"/>
      <c r="AB105" s="43"/>
      <c r="AC105" s="43"/>
      <c r="AD105" s="43"/>
      <c r="AE105" s="43"/>
      <c r="AF105" s="43"/>
      <c r="AG105" s="43"/>
    </row>
    <row r="106" spans="17:35">
      <c r="Q106" s="83"/>
      <c r="R106" s="83"/>
      <c r="S106" s="47"/>
    </row>
  </sheetData>
  <sheetProtection password="E109" sheet="1" objects="1" scenarios="1"/>
  <mergeCells count="6">
    <mergeCell ref="A2:F2"/>
    <mergeCell ref="Y43:AE43"/>
    <mergeCell ref="Y7:AB7"/>
    <mergeCell ref="Z72:AG72"/>
    <mergeCell ref="Z90:AF90"/>
    <mergeCell ref="J3:K3"/>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dimension ref="A1:N39"/>
  <sheetViews>
    <sheetView topLeftCell="A13" workbookViewId="0">
      <selection activeCell="J31" sqref="J31"/>
    </sheetView>
  </sheetViews>
  <sheetFormatPr defaultRowHeight="14.4"/>
  <cols>
    <col min="1" max="1" width="17.44140625" customWidth="1"/>
    <col min="2" max="2" width="20.88671875" customWidth="1"/>
    <col min="3" max="3" width="14.33203125" customWidth="1"/>
    <col min="4" max="4" width="15.109375" customWidth="1"/>
    <col min="5" max="5" width="13.5546875" customWidth="1"/>
    <col min="6" max="6" width="14" customWidth="1"/>
    <col min="8" max="8" width="17.33203125" customWidth="1"/>
    <col min="9" max="9" width="12.33203125" hidden="1" customWidth="1"/>
  </cols>
  <sheetData>
    <row r="1" spans="1:14" ht="15" thickBot="1">
      <c r="A1" s="671" t="s">
        <v>131</v>
      </c>
      <c r="B1" s="672"/>
      <c r="C1" s="672"/>
      <c r="D1" s="672"/>
      <c r="E1" s="672"/>
      <c r="F1" s="672"/>
      <c r="G1" s="672"/>
      <c r="H1" s="673"/>
    </row>
    <row r="2" spans="1:14" s="365" customFormat="1">
      <c r="A2" s="687" t="s">
        <v>225</v>
      </c>
      <c r="B2" s="687"/>
      <c r="C2" s="687"/>
      <c r="D2" s="687"/>
      <c r="E2" s="687"/>
      <c r="F2" s="687"/>
      <c r="G2" s="687"/>
      <c r="H2" s="688"/>
    </row>
    <row r="3" spans="1:14" s="365" customFormat="1">
      <c r="A3" s="392"/>
      <c r="B3" s="685" t="s">
        <v>226</v>
      </c>
      <c r="C3" s="685"/>
      <c r="D3" s="685"/>
      <c r="E3" s="685"/>
      <c r="F3" s="685"/>
      <c r="G3" s="685"/>
      <c r="H3" s="686"/>
    </row>
    <row r="4" spans="1:14" s="365" customFormat="1">
      <c r="A4" s="392"/>
      <c r="B4" s="685" t="s">
        <v>227</v>
      </c>
      <c r="C4" s="685"/>
      <c r="D4" s="685"/>
      <c r="E4" s="685"/>
      <c r="F4" s="685"/>
      <c r="G4" s="685"/>
      <c r="H4" s="686"/>
    </row>
    <row r="5" spans="1:14" s="365" customFormat="1">
      <c r="A5" s="396"/>
      <c r="B5" s="396"/>
      <c r="C5" s="396"/>
      <c r="D5" s="396"/>
      <c r="E5" s="396"/>
      <c r="F5" s="396"/>
      <c r="G5" s="396"/>
      <c r="H5" s="400"/>
    </row>
    <row r="6" spans="1:14" s="365" customFormat="1">
      <c r="A6" s="683" t="s">
        <v>223</v>
      </c>
      <c r="B6" s="683"/>
      <c r="C6" s="683"/>
      <c r="D6" s="683"/>
      <c r="E6" s="683"/>
      <c r="F6" s="683"/>
      <c r="G6" s="683"/>
      <c r="H6" s="684"/>
    </row>
    <row r="7" spans="1:14" s="365" customFormat="1">
      <c r="A7" s="683" t="s">
        <v>224</v>
      </c>
      <c r="B7" s="683"/>
      <c r="C7" s="683"/>
      <c r="D7" s="683"/>
      <c r="E7" s="683"/>
      <c r="F7" s="683"/>
      <c r="G7" s="683"/>
      <c r="H7" s="684"/>
    </row>
    <row r="8" spans="1:14" s="365" customFormat="1">
      <c r="A8" s="683" t="s">
        <v>228</v>
      </c>
      <c r="B8" s="683"/>
      <c r="C8" s="683"/>
      <c r="D8" s="683"/>
      <c r="E8" s="683"/>
      <c r="F8" s="683"/>
      <c r="G8" s="683"/>
      <c r="H8" s="684"/>
    </row>
    <row r="9" spans="1:14" s="365" customFormat="1">
      <c r="A9" s="392"/>
      <c r="B9" s="685" t="s">
        <v>232</v>
      </c>
      <c r="C9" s="685"/>
      <c r="D9" s="685"/>
      <c r="E9" s="685"/>
      <c r="F9" s="685"/>
      <c r="G9" s="685"/>
      <c r="H9" s="686"/>
    </row>
    <row r="10" spans="1:14">
      <c r="A10" s="398"/>
      <c r="B10" s="685" t="s">
        <v>229</v>
      </c>
      <c r="C10" s="685"/>
      <c r="D10" s="685"/>
      <c r="E10" s="685"/>
      <c r="F10" s="685"/>
      <c r="G10" s="685"/>
      <c r="H10" s="686"/>
    </row>
    <row r="11" spans="1:14" s="365" customFormat="1">
      <c r="A11" s="398"/>
      <c r="B11" s="685" t="s">
        <v>231</v>
      </c>
      <c r="C11" s="685"/>
      <c r="D11" s="685"/>
      <c r="E11" s="685"/>
      <c r="F11" s="685"/>
      <c r="G11" s="685"/>
      <c r="H11" s="686"/>
    </row>
    <row r="12" spans="1:14" s="365" customFormat="1">
      <c r="A12" s="399"/>
      <c r="B12" s="399"/>
      <c r="C12" s="399"/>
      <c r="D12" s="399"/>
      <c r="E12" s="399"/>
      <c r="F12" s="399"/>
      <c r="G12" s="399"/>
      <c r="H12" s="401"/>
    </row>
    <row r="13" spans="1:14" s="365" customFormat="1">
      <c r="A13" s="397"/>
      <c r="N13" s="365" t="s">
        <v>5</v>
      </c>
    </row>
    <row r="14" spans="1:14">
      <c r="A14" s="680" t="s">
        <v>230</v>
      </c>
      <c r="B14" s="681"/>
      <c r="C14" s="682"/>
      <c r="J14" s="365" t="s">
        <v>5</v>
      </c>
    </row>
    <row r="15" spans="1:14">
      <c r="A15" s="402" t="s">
        <v>233</v>
      </c>
      <c r="B15" s="403" t="s">
        <v>234</v>
      </c>
      <c r="C15" s="403" t="s">
        <v>123</v>
      </c>
      <c r="D15" s="404" t="s">
        <v>40</v>
      </c>
    </row>
    <row r="16" spans="1:14">
      <c r="A16" s="405">
        <v>0.6</v>
      </c>
      <c r="B16" s="406">
        <v>0.67900000000000005</v>
      </c>
      <c r="C16" s="406">
        <v>3.29</v>
      </c>
      <c r="D16" s="407">
        <v>1.19</v>
      </c>
      <c r="I16">
        <f>+IF(AND('Input page'!B$38="x",'Input page'!B$39=0.6),1,0)</f>
        <v>0</v>
      </c>
    </row>
    <row r="17" spans="1:9">
      <c r="A17" s="405">
        <v>0.7</v>
      </c>
      <c r="B17" s="406">
        <v>0.84199999999999997</v>
      </c>
      <c r="C17" s="406">
        <v>1.64</v>
      </c>
      <c r="D17" s="407">
        <v>0.95</v>
      </c>
      <c r="F17" s="365"/>
      <c r="I17">
        <f>+IF(AND('Input page'!B$38="x",'Input page'!B$39=0.7),1,0)</f>
        <v>0</v>
      </c>
    </row>
    <row r="18" spans="1:9">
      <c r="A18" s="405">
        <v>0.8</v>
      </c>
      <c r="B18" s="406">
        <v>0.94</v>
      </c>
      <c r="C18" s="406">
        <v>0.8</v>
      </c>
      <c r="D18" s="407">
        <v>0.76</v>
      </c>
      <c r="F18" s="365"/>
      <c r="I18">
        <f>+IF(AND('Input page'!B$38="x",'Input page'!B$39=0.8),1,0)</f>
        <v>0</v>
      </c>
    </row>
    <row r="19" spans="1:9">
      <c r="A19" s="405">
        <v>0.9</v>
      </c>
      <c r="B19" s="406">
        <v>0.99399999999999999</v>
      </c>
      <c r="C19" s="406">
        <v>0.33</v>
      </c>
      <c r="D19" s="407">
        <v>0.33</v>
      </c>
      <c r="F19" s="365"/>
      <c r="I19">
        <f>+IF(AND('Input page'!B$38="x",'Input page'!B$39=0.9),1,0)</f>
        <v>0</v>
      </c>
    </row>
    <row r="20" spans="1:9">
      <c r="A20" s="408">
        <v>1</v>
      </c>
      <c r="B20" s="409">
        <v>1</v>
      </c>
      <c r="C20" s="409">
        <v>0</v>
      </c>
      <c r="D20" s="410">
        <v>0</v>
      </c>
      <c r="F20" s="365"/>
      <c r="I20">
        <f>+IF(AND('Input page'!B$38="x",'Input page'!B$39=1),1,0)</f>
        <v>0</v>
      </c>
    </row>
    <row r="22" spans="1:9">
      <c r="A22" s="297" t="s">
        <v>135</v>
      </c>
      <c r="B22" s="297">
        <f>+SUMPRODUCT(B16:B20,$I16:$I20)</f>
        <v>0</v>
      </c>
      <c r="C22" s="297">
        <f>+SUMPRODUCT(C16:C20,$I16:$I20)</f>
        <v>0</v>
      </c>
      <c r="D22" s="297">
        <f>+SUMPRODUCT(D16:D20,$I16:$I20)</f>
        <v>0</v>
      </c>
    </row>
    <row r="23" spans="1:9">
      <c r="A23" s="297" t="s">
        <v>136</v>
      </c>
      <c r="C23" s="297">
        <f>+IF('Input page'!B40="x",'Input page'!B41,0)</f>
        <v>0</v>
      </c>
      <c r="D23" s="297"/>
    </row>
    <row r="24" spans="1:9">
      <c r="A24" s="297"/>
      <c r="B24" s="297">
        <f>+IF('Input page'!B38="x",B22,1000000000000000)</f>
        <v>1000000000000000</v>
      </c>
      <c r="C24" s="297">
        <f>+SUM(C22:C23)</f>
        <v>0</v>
      </c>
      <c r="D24" s="297">
        <f t="shared" ref="D24" si="0">+SUM(D22:D23)</f>
        <v>0</v>
      </c>
    </row>
    <row r="26" spans="1:9">
      <c r="A26" s="674" t="s">
        <v>128</v>
      </c>
      <c r="B26" s="674"/>
      <c r="C26" s="674"/>
    </row>
    <row r="27" spans="1:9">
      <c r="B27" s="297" t="s">
        <v>129</v>
      </c>
    </row>
    <row r="28" spans="1:9">
      <c r="A28" t="s">
        <v>127</v>
      </c>
      <c r="B28" s="251">
        <v>18.899999999999999</v>
      </c>
    </row>
    <row r="29" spans="1:9">
      <c r="A29" t="s">
        <v>132</v>
      </c>
      <c r="B29" s="251">
        <v>46.4</v>
      </c>
    </row>
    <row r="30" spans="1:9">
      <c r="A30" t="s">
        <v>126</v>
      </c>
      <c r="B30" s="251">
        <v>134.80000000000001</v>
      </c>
    </row>
    <row r="31" spans="1:9">
      <c r="A31" t="s">
        <v>133</v>
      </c>
      <c r="B31" s="313">
        <f>371.4*1000/3.785</f>
        <v>98124.174372523121</v>
      </c>
    </row>
    <row r="33" spans="1:5">
      <c r="A33" t="s">
        <v>130</v>
      </c>
      <c r="B33" s="251">
        <v>3</v>
      </c>
    </row>
    <row r="35" spans="1:5">
      <c r="B35" s="251" t="s">
        <v>7</v>
      </c>
      <c r="C35" s="251" t="s">
        <v>124</v>
      </c>
      <c r="D35" s="251" t="s">
        <v>125</v>
      </c>
      <c r="E35" s="251" t="s">
        <v>31</v>
      </c>
    </row>
    <row r="36" spans="1:5">
      <c r="A36" t="s">
        <v>134</v>
      </c>
      <c r="B36" s="14">
        <f>+B28*n_sites*'Input page'!$B$17/$B$24</f>
        <v>8.5050000000000001E-14</v>
      </c>
      <c r="C36" s="14">
        <f>+B29*n_sites*'Input page'!$B$17/$B$24</f>
        <v>2.0879999999999998E-13</v>
      </c>
      <c r="D36" s="14">
        <f>+B30*n_sites*'Input page'!$B$17/$B$24</f>
        <v>6.0660000000000006E-13</v>
      </c>
      <c r="E36" s="14">
        <f>+B31*n_sites*'Input page'!$B$17/$B$24</f>
        <v>4.415587846763541E-10</v>
      </c>
    </row>
    <row r="37" spans="1:5">
      <c r="A37" t="s">
        <v>162</v>
      </c>
      <c r="B37" s="14">
        <f>+C24*'Matl=f(depth)'!E39</f>
        <v>0</v>
      </c>
      <c r="C37" s="14">
        <f>+C24*'Matl=f(depth)'!E40</f>
        <v>0</v>
      </c>
      <c r="D37" s="14">
        <f>+C24*'Matl=f(depth)'!E41</f>
        <v>0</v>
      </c>
      <c r="E37" s="14">
        <f>+C24*'Matl=f(depth)'!E42</f>
        <v>0</v>
      </c>
    </row>
    <row r="38" spans="1:5">
      <c r="A38" t="s">
        <v>163</v>
      </c>
      <c r="B38" s="14">
        <f>+$D24*'Matl=f(depth)'!F39</f>
        <v>0</v>
      </c>
      <c r="C38" s="14">
        <f>+$D24*'Matl=f(depth)'!F40</f>
        <v>0</v>
      </c>
      <c r="D38" s="14">
        <f>+$D24*'Matl=f(depth)'!F41</f>
        <v>0</v>
      </c>
      <c r="E38" s="14">
        <f>+$D24*'Matl=f(depth)'!F42</f>
        <v>0</v>
      </c>
    </row>
    <row r="39" spans="1:5">
      <c r="A39" t="s">
        <v>5</v>
      </c>
      <c r="B39" t="s">
        <v>5</v>
      </c>
    </row>
  </sheetData>
  <sheetProtection password="E109" sheet="1" objects="1" scenarios="1"/>
  <mergeCells count="12">
    <mergeCell ref="A14:C14"/>
    <mergeCell ref="A26:C26"/>
    <mergeCell ref="A1:H1"/>
    <mergeCell ref="A6:H6"/>
    <mergeCell ref="A7:H7"/>
    <mergeCell ref="A8:H8"/>
    <mergeCell ref="B9:H9"/>
    <mergeCell ref="B10:H10"/>
    <mergeCell ref="A2:H2"/>
    <mergeCell ref="B4:H4"/>
    <mergeCell ref="B3:H3"/>
    <mergeCell ref="B11:H1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2:X29"/>
  <sheetViews>
    <sheetView workbookViewId="0">
      <selection activeCell="I27" sqref="I27"/>
    </sheetView>
  </sheetViews>
  <sheetFormatPr defaultRowHeight="14.4"/>
  <cols>
    <col min="1" max="1" width="16.6640625" customWidth="1"/>
    <col min="2" max="2" width="10.109375" bestFit="1" customWidth="1"/>
    <col min="3" max="3" width="8.6640625" customWidth="1"/>
    <col min="4" max="4" width="14.5546875" bestFit="1" customWidth="1"/>
    <col min="5" max="5" width="14.33203125" customWidth="1"/>
    <col min="6" max="6" width="12.88671875" customWidth="1"/>
    <col min="7" max="7" width="10.6640625" bestFit="1" customWidth="1"/>
    <col min="8" max="8" width="9.33203125" bestFit="1" customWidth="1"/>
    <col min="9" max="9" width="11.109375" customWidth="1"/>
    <col min="10" max="17" width="9.33203125" bestFit="1" customWidth="1"/>
    <col min="18" max="18" width="9.6640625" bestFit="1" customWidth="1"/>
    <col min="19" max="19" width="11.44140625" bestFit="1" customWidth="1"/>
    <col min="20" max="23" width="9" bestFit="1" customWidth="1"/>
    <col min="24" max="24" width="9.5546875" bestFit="1" customWidth="1"/>
  </cols>
  <sheetData>
    <row r="2" spans="1:24">
      <c r="B2" s="5" t="s">
        <v>6</v>
      </c>
      <c r="C2" s="6" t="s">
        <v>7</v>
      </c>
      <c r="D2" s="6" t="s">
        <v>8</v>
      </c>
      <c r="E2" s="6" t="s">
        <v>9</v>
      </c>
      <c r="F2" s="6" t="s">
        <v>10</v>
      </c>
      <c r="G2" s="6" t="s">
        <v>11</v>
      </c>
      <c r="H2" s="6" t="s">
        <v>222</v>
      </c>
      <c r="I2" s="6" t="s">
        <v>222</v>
      </c>
      <c r="J2" s="6" t="s">
        <v>222</v>
      </c>
      <c r="K2" s="6" t="s">
        <v>12</v>
      </c>
      <c r="L2" s="6" t="s">
        <v>13</v>
      </c>
      <c r="M2" s="6" t="s">
        <v>14</v>
      </c>
      <c r="N2" s="6" t="s">
        <v>15</v>
      </c>
      <c r="O2" s="6" t="s">
        <v>16</v>
      </c>
      <c r="P2" s="6" t="s">
        <v>71</v>
      </c>
      <c r="Q2" s="6" t="s">
        <v>17</v>
      </c>
      <c r="R2" s="6" t="s">
        <v>18</v>
      </c>
      <c r="S2" s="6" t="s">
        <v>19</v>
      </c>
    </row>
    <row r="4" spans="1:24">
      <c r="B4" s="314" t="s">
        <v>6</v>
      </c>
      <c r="C4" s="314" t="s">
        <v>79</v>
      </c>
      <c r="D4" s="314" t="s">
        <v>137</v>
      </c>
      <c r="E4" s="314" t="s">
        <v>138</v>
      </c>
      <c r="F4" s="314" t="s">
        <v>139</v>
      </c>
      <c r="G4" s="314" t="s">
        <v>11</v>
      </c>
      <c r="H4" s="314"/>
      <c r="I4" s="314"/>
      <c r="J4" s="314"/>
      <c r="K4" s="314" t="s">
        <v>140</v>
      </c>
      <c r="L4" s="314" t="s">
        <v>141</v>
      </c>
      <c r="M4" s="314" t="s">
        <v>14</v>
      </c>
      <c r="N4" s="314" t="s">
        <v>142</v>
      </c>
      <c r="O4" s="314" t="s">
        <v>143</v>
      </c>
      <c r="P4" s="314" t="s">
        <v>144</v>
      </c>
      <c r="Q4" s="314" t="s">
        <v>145</v>
      </c>
      <c r="R4" s="314" t="s">
        <v>18</v>
      </c>
      <c r="S4" s="314" t="s">
        <v>91</v>
      </c>
    </row>
    <row r="5" spans="1:24">
      <c r="A5" s="323" t="s">
        <v>153</v>
      </c>
      <c r="B5" s="318" t="s">
        <v>148</v>
      </c>
      <c r="C5" s="318" t="s">
        <v>148</v>
      </c>
      <c r="D5" s="318" t="s">
        <v>148</v>
      </c>
      <c r="E5" s="318" t="s">
        <v>148</v>
      </c>
      <c r="F5" s="318" t="s">
        <v>149</v>
      </c>
      <c r="G5" s="318" t="s">
        <v>150</v>
      </c>
      <c r="H5" s="318" t="s">
        <v>5</v>
      </c>
      <c r="I5" s="319"/>
      <c r="J5" s="318"/>
      <c r="K5" s="318" t="s">
        <v>148</v>
      </c>
      <c r="L5" s="318" t="s">
        <v>148</v>
      </c>
      <c r="M5" s="318" t="s">
        <v>148</v>
      </c>
      <c r="N5" s="318" t="s">
        <v>148</v>
      </c>
      <c r="O5" s="318" t="s">
        <v>148</v>
      </c>
      <c r="P5" s="318" t="s">
        <v>148</v>
      </c>
      <c r="Q5" s="318" t="s">
        <v>148</v>
      </c>
      <c r="R5" s="318" t="s">
        <v>148</v>
      </c>
      <c r="S5" s="318" t="s">
        <v>148</v>
      </c>
    </row>
    <row r="6" spans="1:24">
      <c r="A6" s="323" t="s">
        <v>5</v>
      </c>
      <c r="B6" s="320">
        <v>154.4831779898131</v>
      </c>
      <c r="C6" s="320">
        <v>6.4131751398534007</v>
      </c>
      <c r="D6" s="320">
        <v>1.3467667793692142</v>
      </c>
      <c r="E6" s="320">
        <v>111.28589683499918</v>
      </c>
      <c r="F6" s="320">
        <v>9230</v>
      </c>
      <c r="G6" s="320">
        <v>43.6</v>
      </c>
      <c r="H6" s="320">
        <v>0</v>
      </c>
      <c r="I6" s="320">
        <v>0</v>
      </c>
      <c r="J6" s="320">
        <v>0</v>
      </c>
      <c r="K6" s="320">
        <v>20.086076508802932</v>
      </c>
      <c r="L6" s="320">
        <v>32.649486328267656</v>
      </c>
      <c r="M6" s="320">
        <v>29.197206504887195</v>
      </c>
      <c r="N6" s="320">
        <v>52.927403549965106</v>
      </c>
      <c r="O6" s="320">
        <v>0</v>
      </c>
      <c r="P6" s="320">
        <v>53.461819180139315</v>
      </c>
      <c r="Q6" s="320">
        <v>0</v>
      </c>
      <c r="R6" s="320">
        <v>3745.6433043357679</v>
      </c>
      <c r="S6" s="320">
        <v>17.563441023215351</v>
      </c>
    </row>
    <row r="7" spans="1:24">
      <c r="A7" s="324" t="s">
        <v>154</v>
      </c>
      <c r="B7" s="321" t="s">
        <v>146</v>
      </c>
      <c r="C7" s="321" t="s">
        <v>146</v>
      </c>
      <c r="D7" s="321" t="s">
        <v>146</v>
      </c>
      <c r="E7" s="321" t="s">
        <v>146</v>
      </c>
      <c r="F7" s="321" t="s">
        <v>151</v>
      </c>
      <c r="G7" s="321" t="s">
        <v>152</v>
      </c>
      <c r="H7" s="322" t="s">
        <v>5</v>
      </c>
      <c r="I7" s="321"/>
      <c r="J7" s="321"/>
      <c r="K7" s="321" t="s">
        <v>146</v>
      </c>
      <c r="L7" s="321" t="s">
        <v>146</v>
      </c>
      <c r="M7" s="321" t="s">
        <v>146</v>
      </c>
      <c r="N7" s="321" t="s">
        <v>146</v>
      </c>
      <c r="O7" s="321" t="s">
        <v>146</v>
      </c>
      <c r="P7" s="321" t="s">
        <v>146</v>
      </c>
      <c r="Q7" s="321" t="s">
        <v>146</v>
      </c>
      <c r="R7" s="321" t="s">
        <v>146</v>
      </c>
      <c r="S7" s="321" t="s">
        <v>146</v>
      </c>
    </row>
    <row r="8" spans="1:24">
      <c r="A8" s="324" t="s">
        <v>5</v>
      </c>
      <c r="B8" s="321">
        <v>10.109897408558847</v>
      </c>
      <c r="C8" s="321">
        <v>1.5829723464056817</v>
      </c>
      <c r="D8" s="321">
        <v>0.33242419274519319</v>
      </c>
      <c r="E8" s="321">
        <v>8.4771476654881006</v>
      </c>
      <c r="F8" s="321">
        <v>754</v>
      </c>
      <c r="G8" s="321">
        <v>3.2</v>
      </c>
      <c r="H8" s="321">
        <v>0</v>
      </c>
      <c r="I8" s="321">
        <v>0</v>
      </c>
      <c r="J8" s="321">
        <v>0</v>
      </c>
      <c r="K8" s="321">
        <v>1.5572230718047597</v>
      </c>
      <c r="L8" s="321">
        <v>0.53621987003469462</v>
      </c>
      <c r="M8" s="321">
        <v>0.94059102447140697</v>
      </c>
      <c r="N8" s="321">
        <v>4.4528474964183369</v>
      </c>
      <c r="O8" s="321">
        <v>0</v>
      </c>
      <c r="P8" s="321">
        <v>4.0584657436598297</v>
      </c>
      <c r="Q8" s="321">
        <v>0</v>
      </c>
      <c r="R8" s="321">
        <v>296.68908089537211</v>
      </c>
      <c r="S8" s="321">
        <v>1.0863217370322749</v>
      </c>
    </row>
    <row r="11" spans="1:24">
      <c r="H11" s="689" t="s">
        <v>155</v>
      </c>
      <c r="I11" s="690"/>
      <c r="J11" s="690"/>
      <c r="K11" s="691"/>
    </row>
    <row r="12" spans="1:24">
      <c r="A12" s="411" t="s">
        <v>235</v>
      </c>
      <c r="B12" s="325">
        <f>+'Results Page'!C19</f>
        <v>0</v>
      </c>
      <c r="C12" s="326">
        <f>+'Results Page'!D19</f>
        <v>75.743390209313588</v>
      </c>
      <c r="D12" s="326">
        <f>+'Results Page'!E19</f>
        <v>159</v>
      </c>
      <c r="E12" s="326">
        <f>+'Results Page'!F19</f>
        <v>0.17</v>
      </c>
      <c r="F12" s="326">
        <f>+'Results Page'!G19</f>
        <v>1.3</v>
      </c>
      <c r="G12" s="421">
        <f>+'Results Page'!H19</f>
        <v>49552.103293497617</v>
      </c>
      <c r="H12" s="326">
        <f>+'Results Page'!I19</f>
        <v>0</v>
      </c>
      <c r="I12" s="326">
        <f>+'Results Page'!J19</f>
        <v>0</v>
      </c>
      <c r="J12" s="326">
        <f>+'Results Page'!K19</f>
        <v>0</v>
      </c>
      <c r="K12" s="326">
        <f>+'Results Page'!L19</f>
        <v>1.0267999999999999</v>
      </c>
      <c r="L12" s="326">
        <f>+'Results Page'!M19</f>
        <v>1.61</v>
      </c>
      <c r="M12" s="326">
        <f>+'Results Page'!N19</f>
        <v>0</v>
      </c>
      <c r="N12" s="326">
        <f>+'Results Page'!O19</f>
        <v>0</v>
      </c>
      <c r="O12" s="326">
        <f>+'Results Page'!P19</f>
        <v>0</v>
      </c>
      <c r="P12" s="326">
        <f>+'Results Page'!Q19</f>
        <v>0</v>
      </c>
      <c r="Q12" s="326">
        <f>+'Results Page'!R19</f>
        <v>0</v>
      </c>
      <c r="R12" s="326">
        <f>+'Results Page'!S19</f>
        <v>0</v>
      </c>
      <c r="S12" s="327">
        <f>+'Results Page'!T19</f>
        <v>131.01907824862934</v>
      </c>
      <c r="T12" s="83" t="s">
        <v>5</v>
      </c>
    </row>
    <row r="13" spans="1:24">
      <c r="A13" s="331" t="s">
        <v>237</v>
      </c>
      <c r="B13" s="44">
        <f>+'Results Page'!C20</f>
        <v>0</v>
      </c>
      <c r="C13" s="44">
        <f>+'Results Page'!D20</f>
        <v>75.743390209313588</v>
      </c>
      <c r="D13" s="44">
        <f>+'Results Page'!E20</f>
        <v>159</v>
      </c>
      <c r="E13" s="44">
        <f>+'Results Page'!F20</f>
        <v>0.17</v>
      </c>
      <c r="F13" s="44">
        <f>+'Results Page'!G20</f>
        <v>1.3</v>
      </c>
      <c r="G13" s="28">
        <f>+'Results Page'!H20</f>
        <v>49552.103293497617</v>
      </c>
      <c r="H13" s="44">
        <f>+'Results Page'!I20</f>
        <v>0</v>
      </c>
      <c r="I13" s="44">
        <f>+'Results Page'!J20</f>
        <v>0</v>
      </c>
      <c r="J13" s="44">
        <f>+'Results Page'!K20</f>
        <v>0</v>
      </c>
      <c r="K13" s="44">
        <f>+'Results Page'!L20</f>
        <v>1.0267999999999999</v>
      </c>
      <c r="L13" s="44">
        <f>+'Results Page'!M20</f>
        <v>1.61</v>
      </c>
      <c r="M13" s="44">
        <f>+'Results Page'!N20</f>
        <v>0</v>
      </c>
      <c r="N13" s="44">
        <f>+'Results Page'!O20</f>
        <v>0</v>
      </c>
      <c r="O13" s="44">
        <f>+'Results Page'!P20</f>
        <v>0</v>
      </c>
      <c r="P13" s="44">
        <f>+'Results Page'!Q20</f>
        <v>0</v>
      </c>
      <c r="Q13" s="44">
        <f>+'Results Page'!R20</f>
        <v>0</v>
      </c>
      <c r="R13" s="44">
        <f>+'Results Page'!S20</f>
        <v>0</v>
      </c>
      <c r="S13" s="44">
        <f>+'Results Page'!T20</f>
        <v>131.01907824862934</v>
      </c>
      <c r="T13" s="83"/>
    </row>
    <row r="14" spans="1:24">
      <c r="A14" s="332" t="s">
        <v>236</v>
      </c>
      <c r="B14" s="44">
        <f>+'Results Page'!C21</f>
        <v>0</v>
      </c>
      <c r="C14" s="44">
        <f>+'Results Page'!D21</f>
        <v>75.743390209313588</v>
      </c>
      <c r="D14" s="44">
        <f>+'Results Page'!E21</f>
        <v>159</v>
      </c>
      <c r="E14" s="44">
        <f>+'Results Page'!F21</f>
        <v>0.17</v>
      </c>
      <c r="F14" s="44">
        <f>+'Results Page'!G21</f>
        <v>1.3</v>
      </c>
      <c r="G14" s="28">
        <f>+'Results Page'!H21</f>
        <v>49552.103293497617</v>
      </c>
      <c r="H14" s="44">
        <f>+'Results Page'!I21</f>
        <v>0</v>
      </c>
      <c r="I14" s="44">
        <f>+'Results Page'!J21</f>
        <v>0</v>
      </c>
      <c r="J14" s="44">
        <f>+'Results Page'!K21</f>
        <v>0</v>
      </c>
      <c r="K14" s="44">
        <f>+'Results Page'!L21</f>
        <v>1.0267999999999999</v>
      </c>
      <c r="L14" s="44">
        <f>+'Results Page'!M21</f>
        <v>1.61</v>
      </c>
      <c r="M14" s="44">
        <f>+'Results Page'!N21</f>
        <v>0</v>
      </c>
      <c r="N14" s="44">
        <f>+'Results Page'!O21</f>
        <v>0</v>
      </c>
      <c r="O14" s="44">
        <f>+'Results Page'!P21</f>
        <v>0</v>
      </c>
      <c r="P14" s="44">
        <f>+'Results Page'!Q21</f>
        <v>0</v>
      </c>
      <c r="Q14" s="44">
        <f>+'Results Page'!R21</f>
        <v>0</v>
      </c>
      <c r="R14" s="44">
        <f>+'Results Page'!S21</f>
        <v>0</v>
      </c>
      <c r="S14" s="44">
        <f>+'Results Page'!T21</f>
        <v>131.01907824862934</v>
      </c>
      <c r="T14" s="83"/>
    </row>
    <row r="16" spans="1:24">
      <c r="A16" t="s">
        <v>5</v>
      </c>
      <c r="T16" s="83"/>
      <c r="U16" s="83"/>
      <c r="V16" s="83"/>
      <c r="W16" s="83"/>
      <c r="X16" s="83"/>
    </row>
    <row r="17" spans="1:19" s="314" customFormat="1">
      <c r="A17" s="411" t="s">
        <v>235</v>
      </c>
      <c r="B17" s="14">
        <f>+B12*1000</f>
        <v>0</v>
      </c>
      <c r="C17" s="14">
        <f>+C12*1000</f>
        <v>75743.390209313584</v>
      </c>
      <c r="D17" s="14">
        <f>+D12*1000</f>
        <v>159000</v>
      </c>
      <c r="E17" s="14">
        <f>+E12*1000</f>
        <v>170</v>
      </c>
      <c r="F17" s="333">
        <f t="shared" ref="F17:G19" si="0">+F12</f>
        <v>1.3</v>
      </c>
      <c r="G17" s="14">
        <f t="shared" si="0"/>
        <v>49552.103293497617</v>
      </c>
      <c r="H17" s="333">
        <f t="shared" ref="H17:S17" si="1">+H12*1000</f>
        <v>0</v>
      </c>
      <c r="I17" s="333">
        <f t="shared" si="1"/>
        <v>0</v>
      </c>
      <c r="J17" s="333">
        <f t="shared" si="1"/>
        <v>0</v>
      </c>
      <c r="K17" s="14">
        <f t="shared" si="1"/>
        <v>1026.8</v>
      </c>
      <c r="L17" s="14">
        <f t="shared" si="1"/>
        <v>1610</v>
      </c>
      <c r="M17" s="333">
        <f t="shared" si="1"/>
        <v>0</v>
      </c>
      <c r="N17" s="333">
        <f t="shared" si="1"/>
        <v>0</v>
      </c>
      <c r="O17" s="333">
        <f t="shared" si="1"/>
        <v>0</v>
      </c>
      <c r="P17" s="14">
        <f t="shared" si="1"/>
        <v>0</v>
      </c>
      <c r="Q17" s="333">
        <f t="shared" si="1"/>
        <v>0</v>
      </c>
      <c r="R17" s="333">
        <f t="shared" si="1"/>
        <v>0</v>
      </c>
      <c r="S17" s="14">
        <f t="shared" si="1"/>
        <v>131019.07824862935</v>
      </c>
    </row>
    <row r="18" spans="1:19">
      <c r="A18" s="331" t="s">
        <v>237</v>
      </c>
      <c r="B18" s="14">
        <f>+B13*1000</f>
        <v>0</v>
      </c>
      <c r="C18" s="14">
        <f t="shared" ref="C18:S18" si="2">+C13*1000</f>
        <v>75743.390209313584</v>
      </c>
      <c r="D18" s="14">
        <f t="shared" si="2"/>
        <v>159000</v>
      </c>
      <c r="E18" s="14">
        <f t="shared" si="2"/>
        <v>170</v>
      </c>
      <c r="F18" s="333">
        <f t="shared" si="0"/>
        <v>1.3</v>
      </c>
      <c r="G18" s="14">
        <f t="shared" si="0"/>
        <v>49552.103293497617</v>
      </c>
      <c r="H18" s="333">
        <f t="shared" si="2"/>
        <v>0</v>
      </c>
      <c r="I18" s="333">
        <f t="shared" si="2"/>
        <v>0</v>
      </c>
      <c r="J18" s="333">
        <f t="shared" si="2"/>
        <v>0</v>
      </c>
      <c r="K18" s="14">
        <f t="shared" si="2"/>
        <v>1026.8</v>
      </c>
      <c r="L18" s="14">
        <f t="shared" si="2"/>
        <v>1610</v>
      </c>
      <c r="M18" s="333">
        <f t="shared" si="2"/>
        <v>0</v>
      </c>
      <c r="N18" s="333">
        <f t="shared" si="2"/>
        <v>0</v>
      </c>
      <c r="O18" s="333">
        <f t="shared" si="2"/>
        <v>0</v>
      </c>
      <c r="P18" s="14">
        <f t="shared" si="2"/>
        <v>0</v>
      </c>
      <c r="Q18" s="333">
        <f t="shared" si="2"/>
        <v>0</v>
      </c>
      <c r="R18" s="333">
        <f t="shared" si="2"/>
        <v>0</v>
      </c>
      <c r="S18" s="14">
        <f t="shared" si="2"/>
        <v>131019.07824862935</v>
      </c>
    </row>
    <row r="19" spans="1:19">
      <c r="A19" s="332" t="s">
        <v>236</v>
      </c>
      <c r="B19" s="14">
        <f>+B14*1000</f>
        <v>0</v>
      </c>
      <c r="C19" s="14">
        <f t="shared" ref="C19:S19" si="3">+C14*1000</f>
        <v>75743.390209313584</v>
      </c>
      <c r="D19" s="14">
        <f t="shared" si="3"/>
        <v>159000</v>
      </c>
      <c r="E19" s="14">
        <f t="shared" si="3"/>
        <v>170</v>
      </c>
      <c r="F19" s="333">
        <f t="shared" si="0"/>
        <v>1.3</v>
      </c>
      <c r="G19" s="14">
        <f t="shared" si="0"/>
        <v>49552.103293497617</v>
      </c>
      <c r="H19" s="333">
        <f t="shared" si="3"/>
        <v>0</v>
      </c>
      <c r="I19" s="333">
        <f t="shared" si="3"/>
        <v>0</v>
      </c>
      <c r="J19" s="333">
        <f t="shared" si="3"/>
        <v>0</v>
      </c>
      <c r="K19" s="14">
        <f t="shared" si="3"/>
        <v>1026.8</v>
      </c>
      <c r="L19" s="14">
        <f t="shared" si="3"/>
        <v>1610</v>
      </c>
      <c r="M19" s="333">
        <f t="shared" si="3"/>
        <v>0</v>
      </c>
      <c r="N19" s="333">
        <f t="shared" si="3"/>
        <v>0</v>
      </c>
      <c r="O19" s="333">
        <f t="shared" si="3"/>
        <v>0</v>
      </c>
      <c r="P19" s="14">
        <f t="shared" si="3"/>
        <v>0</v>
      </c>
      <c r="Q19" s="333">
        <f t="shared" si="3"/>
        <v>0</v>
      </c>
      <c r="R19" s="333">
        <f t="shared" si="3"/>
        <v>0</v>
      </c>
      <c r="S19" s="14">
        <f t="shared" si="3"/>
        <v>131019.07824862935</v>
      </c>
    </row>
    <row r="21" spans="1:19" s="365" customFormat="1">
      <c r="A21" s="419" t="s">
        <v>147</v>
      </c>
      <c r="B21" s="420">
        <f>24*365*'Input page'!B7*'Input page'!B8</f>
        <v>249660</v>
      </c>
    </row>
    <row r="22" spans="1:19" s="365" customFormat="1"/>
    <row r="23" spans="1:19" s="365" customFormat="1"/>
    <row r="24" spans="1:19">
      <c r="B24" s="692" t="s">
        <v>239</v>
      </c>
      <c r="C24" s="693"/>
      <c r="D24" s="693"/>
      <c r="E24" s="693"/>
      <c r="F24" s="694"/>
      <c r="G24" s="317"/>
      <c r="H24" s="317"/>
      <c r="I24" s="317"/>
      <c r="J24" s="317"/>
      <c r="K24" s="317"/>
      <c r="L24" s="317"/>
      <c r="M24" s="317"/>
      <c r="N24" s="317"/>
      <c r="O24" s="317"/>
      <c r="P24" s="317"/>
      <c r="Q24" s="317"/>
      <c r="R24" s="317"/>
      <c r="S24" s="317"/>
    </row>
    <row r="25" spans="1:19">
      <c r="A25" s="43"/>
      <c r="B25" s="413"/>
      <c r="C25" s="428" t="s">
        <v>104</v>
      </c>
      <c r="D25" s="429" t="s">
        <v>235</v>
      </c>
      <c r="E25" s="428" t="s">
        <v>237</v>
      </c>
      <c r="F25" s="430" t="s">
        <v>236</v>
      </c>
    </row>
    <row r="26" spans="1:19" ht="15.6">
      <c r="A26" s="412"/>
      <c r="B26" s="414" t="s">
        <v>238</v>
      </c>
      <c r="C26" s="422" t="s">
        <v>240</v>
      </c>
      <c r="D26" s="425">
        <f>+SUMPRODUCT($B17:$E17,$B$6:$E$6)+SUMPRODUCT($K17:$S17,$K$6:$S$6)+$F17*$F$6+$G17*$G$6</f>
        <v>5265616.7611603243</v>
      </c>
      <c r="E26" s="425">
        <f>+SUMPRODUCT($B18:$E18,$B$6:$E$6)+SUMPRODUCT($K18:$S18,$K$6:$S$6)+$F18*$F$6+$G18*$G$6</f>
        <v>5265616.7611603243</v>
      </c>
      <c r="F26" s="415">
        <f>+SUMPRODUCT($B19:$E19,$B$6:$E$6)+SUMPRODUCT($K19:$S19,$K$6:$S$6)+$F19*$F$6+$G19*$G$6</f>
        <v>5265616.7611603243</v>
      </c>
    </row>
    <row r="27" spans="1:19" ht="15.6">
      <c r="A27" s="43"/>
      <c r="B27" s="67" t="s">
        <v>177</v>
      </c>
      <c r="C27" s="423" t="s">
        <v>202</v>
      </c>
      <c r="D27" s="426">
        <f>+D26/$B21/3.6/1000/(1-'Input page'!$B6)</f>
        <v>6.3681011503668233E-3</v>
      </c>
      <c r="E27" s="426">
        <f>+E26/$B21/3.6/1000/(1-'Input page'!$B6)</f>
        <v>6.3681011503668233E-3</v>
      </c>
      <c r="F27" s="416">
        <f>+F26/$B21/3.6/1000/(1-'Input page'!$B6)</f>
        <v>6.3681011503668233E-3</v>
      </c>
    </row>
    <row r="28" spans="1:19" ht="15.6">
      <c r="A28" s="43"/>
      <c r="B28" s="417" t="s">
        <v>178</v>
      </c>
      <c r="C28" s="424" t="s">
        <v>186</v>
      </c>
      <c r="D28" s="427">
        <f>+(SUMPRODUCT($B17:$E17,$B$8:$E$8)+SUMPRODUCT($K17:$S17,$K$8:$S$8)+$F17*$F$8+$G17*$G$8)/$B$21/(1-'Input page'!$B6)</f>
        <v>2.083417481346252</v>
      </c>
      <c r="E28" s="427">
        <f>+(SUMPRODUCT($B18:$E18,$B$8:$E$8)+SUMPRODUCT($K18:$S18,$K$8:$S$8)+$F18*$F$8+$G18*$G$8)/$B$21/(1-'Input page'!$B6)</f>
        <v>2.083417481346252</v>
      </c>
      <c r="F28" s="418">
        <f>+(SUMPRODUCT($B19:$E19,$B$8:$E$8)+SUMPRODUCT($K19:$S19,$K$8:$S$8)+$F19*$F$8+$G19*$G$8)/$B$21/(1-'Input page'!$B6)</f>
        <v>2.083417481346252</v>
      </c>
    </row>
    <row r="29" spans="1:19">
      <c r="A29" s="43"/>
    </row>
  </sheetData>
  <sheetProtection password="E109" sheet="1" objects="1" scenarios="1"/>
  <mergeCells count="2">
    <mergeCell ref="H11:K11"/>
    <mergeCell ref="B24:F24"/>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J7"/>
  <sheetViews>
    <sheetView workbookViewId="0">
      <selection activeCell="H18" sqref="H18"/>
    </sheetView>
  </sheetViews>
  <sheetFormatPr defaultRowHeight="14.4"/>
  <cols>
    <col min="1" max="1" width="14.6640625" customWidth="1"/>
    <col min="2" max="2" width="20.5546875" customWidth="1"/>
    <col min="3" max="3" width="16.44140625" customWidth="1"/>
    <col min="4" max="4" width="14" customWidth="1"/>
  </cols>
  <sheetData>
    <row r="1" spans="1:10">
      <c r="A1" s="695" t="s">
        <v>189</v>
      </c>
      <c r="B1" s="696"/>
      <c r="C1" s="696"/>
      <c r="D1" s="696"/>
      <c r="E1" s="696"/>
      <c r="F1" s="696"/>
      <c r="G1" s="696"/>
      <c r="H1" s="697"/>
      <c r="I1" s="45"/>
      <c r="J1" s="45"/>
    </row>
    <row r="2" spans="1:10">
      <c r="A2" s="698"/>
      <c r="B2" s="699"/>
      <c r="C2" s="699"/>
      <c r="D2" s="699"/>
      <c r="E2" s="699"/>
      <c r="F2" s="699"/>
      <c r="G2" s="699"/>
      <c r="H2" s="700"/>
      <c r="I2" s="45"/>
      <c r="J2" s="45"/>
    </row>
    <row r="3" spans="1:10" ht="15" thickBot="1">
      <c r="A3" s="701"/>
      <c r="B3" s="702"/>
      <c r="C3" s="702"/>
      <c r="D3" s="702"/>
      <c r="E3" s="702"/>
      <c r="F3" s="702"/>
      <c r="G3" s="702"/>
      <c r="H3" s="703"/>
      <c r="I3" s="45"/>
      <c r="J3" s="45"/>
    </row>
    <row r="4" spans="1:10">
      <c r="A4" s="45"/>
      <c r="B4" s="45"/>
      <c r="C4" s="45"/>
      <c r="D4" s="45"/>
      <c r="E4" s="45"/>
      <c r="F4" s="45"/>
      <c r="G4" s="45"/>
      <c r="H4" s="45"/>
      <c r="I4" s="45"/>
      <c r="J4" s="45"/>
    </row>
    <row r="5" spans="1:10">
      <c r="B5" s="350" t="s">
        <v>185</v>
      </c>
      <c r="C5" s="351" t="s">
        <v>183</v>
      </c>
      <c r="D5" s="352" t="s">
        <v>184</v>
      </c>
    </row>
    <row r="6" spans="1:10">
      <c r="B6" s="353" t="s">
        <v>186</v>
      </c>
      <c r="C6" s="354" t="s">
        <v>186</v>
      </c>
      <c r="D6" s="355" t="s">
        <v>186</v>
      </c>
    </row>
    <row r="7" spans="1:10">
      <c r="B7" s="356">
        <v>103</v>
      </c>
      <c r="C7" s="357">
        <v>496</v>
      </c>
      <c r="D7" s="358">
        <v>32</v>
      </c>
    </row>
  </sheetData>
  <sheetProtection password="E109" sheet="1" objects="1" scenarios="1"/>
  <mergeCells count="1">
    <mergeCell ref="A1:H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Summary</vt:lpstr>
      <vt:lpstr>Nomenclature</vt:lpstr>
      <vt:lpstr>Input page</vt:lpstr>
      <vt:lpstr>Results Page</vt:lpstr>
      <vt:lpstr>Matrl Rate Tables</vt:lpstr>
      <vt:lpstr>Matl=f(depth)</vt:lpstr>
      <vt:lpstr>Expltn_calc</vt:lpstr>
      <vt:lpstr>GHG&amp;E ratio calc.</vt:lpstr>
      <vt:lpstr>Operational GHG emissions</vt:lpstr>
      <vt:lpstr>Example Results</vt:lpstr>
      <vt:lpstr>factor1</vt:lpstr>
      <vt:lpstr>factor2</vt:lpstr>
      <vt:lpstr>factor3</vt:lpstr>
      <vt:lpstr>factor4</vt:lpstr>
      <vt:lpstr>factor5</vt:lpstr>
      <vt:lpstr>factor6</vt:lpstr>
      <vt:lpstr>n_sites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Sullivan</dc:creator>
  <cp:lastModifiedBy>Dr. Sullivan</cp:lastModifiedBy>
  <dcterms:created xsi:type="dcterms:W3CDTF">2014-02-19T21:25:02Z</dcterms:created>
  <dcterms:modified xsi:type="dcterms:W3CDTF">2014-03-21T15:35:34Z</dcterms:modified>
</cp:coreProperties>
</file>